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ws1.lboro.ac.uk\CRSP-Shared\CRSP Projects\MIS Numbers\MIS2023\Calculator\"/>
    </mc:Choice>
  </mc:AlternateContent>
  <xr:revisionPtr revIDLastSave="0" documentId="13_ncr:1_{7F44994F-9BF9-4589-AB8B-9131BD17E629}" xr6:coauthVersionLast="47" xr6:coauthVersionMax="47" xr10:uidLastSave="{00000000-0000-0000-0000-000000000000}"/>
  <bookViews>
    <workbookView xWindow="-28920" yWindow="1515" windowWidth="29040" windowHeight="15840" tabRatio="721" activeTab="3" xr2:uid="{00000000-000D-0000-FFFF-FFFF00000000}"/>
  </bookViews>
  <sheets>
    <sheet name="User notes" sheetId="28" r:id="rId1"/>
    <sheet name="calculator" sheetId="30" r:id="rId2"/>
    <sheet name="HBAI note" sheetId="29" r:id="rId3"/>
    <sheet name="this case" sheetId="3" r:id="rId4"/>
    <sheet name="2023 components" sheetId="1" r:id="rId5"/>
    <sheet name="STANDARD TYPES" sheetId="16" state="hidden" r:id="rId6"/>
    <sheet name="s" sheetId="18" state="hidden" r:id="rId7"/>
    <sheet name="cpl" sheetId="19" state="hidden" r:id="rId8"/>
    <sheet name="sp" sheetId="17" state="hidden" r:id="rId9"/>
    <sheet name="cp" sheetId="22" state="hidden" r:id="rId10"/>
    <sheet name="lp+1" sheetId="20" state="hidden" r:id="rId11"/>
    <sheet name="lp+2" sheetId="23" state="hidden" r:id="rId12"/>
    <sheet name="lp+3" sheetId="24" state="hidden" r:id="rId13"/>
    <sheet name="c+1" sheetId="21" state="hidden" r:id="rId14"/>
    <sheet name="c+2" sheetId="25" state="hidden" r:id="rId15"/>
    <sheet name="c+3" sheetId="26" state="hidden" r:id="rId16"/>
    <sheet name="c+4" sheetId="27"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40" i="3" l="1"/>
  <c r="R40" i="3"/>
  <c r="AF39" i="20" l="1"/>
  <c r="AF39" i="21"/>
  <c r="AF40" i="21"/>
  <c r="AS41" i="21"/>
  <c r="AR41" i="21"/>
  <c r="AN41" i="21"/>
  <c r="AL41" i="21"/>
  <c r="X41" i="21"/>
  <c r="S41" i="21"/>
  <c r="R41" i="21"/>
  <c r="L41" i="21"/>
  <c r="I41" i="21"/>
  <c r="AW40" i="21"/>
  <c r="AW39" i="21" s="1"/>
  <c r="AB39" i="21" s="1"/>
  <c r="AP40" i="21"/>
  <c r="AO40" i="21"/>
  <c r="AO41" i="21" s="1"/>
  <c r="AN40" i="21"/>
  <c r="AM40" i="21"/>
  <c r="AK40" i="21"/>
  <c r="AK41" i="21" s="1"/>
  <c r="AJ40" i="21"/>
  <c r="AJ41" i="21" s="1"/>
  <c r="AI40" i="21"/>
  <c r="AH40" i="21"/>
  <c r="AG40" i="21"/>
  <c r="AE40" i="21"/>
  <c r="AD40" i="21"/>
  <c r="AC40" i="21"/>
  <c r="AC41" i="21" s="1"/>
  <c r="AB40" i="21"/>
  <c r="AB41" i="21" s="1"/>
  <c r="AA40" i="21"/>
  <c r="Z40" i="21"/>
  <c r="Y40" i="21"/>
  <c r="X40" i="21"/>
  <c r="W40" i="21"/>
  <c r="V40" i="21"/>
  <c r="U40" i="21"/>
  <c r="T40" i="21"/>
  <c r="Q40" i="21"/>
  <c r="P40" i="21"/>
  <c r="O40" i="21"/>
  <c r="N40" i="21"/>
  <c r="M40" i="21"/>
  <c r="K40" i="21"/>
  <c r="J40" i="21"/>
  <c r="I40" i="21"/>
  <c r="H40" i="21"/>
  <c r="G40" i="21"/>
  <c r="F40" i="21"/>
  <c r="E40" i="21"/>
  <c r="E41" i="21" s="1"/>
  <c r="AU39" i="21"/>
  <c r="AU41" i="21" s="1"/>
  <c r="AT39" i="21"/>
  <c r="AT41" i="21" s="1"/>
  <c r="AS39" i="21"/>
  <c r="AR39" i="21"/>
  <c r="AQ39" i="21"/>
  <c r="AQ41" i="21" s="1"/>
  <c r="AP39" i="21"/>
  <c r="AO39" i="21"/>
  <c r="AN39" i="21"/>
  <c r="AM39" i="21"/>
  <c r="AM41" i="21" s="1"/>
  <c r="AK39" i="21"/>
  <c r="AJ39" i="21"/>
  <c r="AI39" i="21"/>
  <c r="AI41" i="21" s="1"/>
  <c r="AH39" i="21"/>
  <c r="AH41" i="21" s="1"/>
  <c r="AD39" i="21"/>
  <c r="AE39" i="21" s="1"/>
  <c r="AA39" i="21"/>
  <c r="Z39" i="21"/>
  <c r="Z41" i="21" s="1"/>
  <c r="X39" i="21"/>
  <c r="W39" i="21"/>
  <c r="V39" i="21"/>
  <c r="V41" i="21" s="1"/>
  <c r="Q39" i="21"/>
  <c r="U39" i="21" s="1"/>
  <c r="U41" i="21" s="1"/>
  <c r="P39" i="21"/>
  <c r="T39" i="21" s="1"/>
  <c r="T41" i="21" s="1"/>
  <c r="O39" i="21"/>
  <c r="N39" i="21"/>
  <c r="M39" i="21"/>
  <c r="K39" i="21"/>
  <c r="K41" i="21" s="1"/>
  <c r="I39" i="21"/>
  <c r="J39" i="21" s="1"/>
  <c r="G39" i="21"/>
  <c r="G41" i="21" s="1"/>
  <c r="E39" i="21"/>
  <c r="F39" i="21" s="1"/>
  <c r="F41" i="21" s="1"/>
  <c r="AS41" i="20"/>
  <c r="AR41" i="20"/>
  <c r="AN41" i="20"/>
  <c r="AL41" i="20"/>
  <c r="S41" i="20"/>
  <c r="R41" i="20"/>
  <c r="L41" i="20"/>
  <c r="AW40" i="20"/>
  <c r="AW39" i="20" s="1"/>
  <c r="AB39" i="20" s="1"/>
  <c r="AP40" i="20"/>
  <c r="AO40" i="20"/>
  <c r="AO41" i="20" s="1"/>
  <c r="AN40" i="20"/>
  <c r="AM40" i="20"/>
  <c r="AK40" i="20"/>
  <c r="AK41" i="20" s="1"/>
  <c r="AJ40" i="20"/>
  <c r="AJ41" i="20" s="1"/>
  <c r="AI40" i="20"/>
  <c r="AH40" i="20"/>
  <c r="AG40" i="20"/>
  <c r="AF40" i="20"/>
  <c r="AE40" i="20"/>
  <c r="AD40" i="20"/>
  <c r="AC40" i="20"/>
  <c r="AB40" i="20"/>
  <c r="AA40" i="20"/>
  <c r="Z40" i="20"/>
  <c r="Y40" i="20"/>
  <c r="X40" i="20"/>
  <c r="X41" i="20" s="1"/>
  <c r="W40" i="20"/>
  <c r="V40" i="20"/>
  <c r="U40" i="20"/>
  <c r="T40" i="20"/>
  <c r="Q40" i="20"/>
  <c r="P40" i="20"/>
  <c r="O40" i="20"/>
  <c r="N40" i="20"/>
  <c r="M40" i="20"/>
  <c r="K40" i="20"/>
  <c r="J40" i="20"/>
  <c r="I40" i="20"/>
  <c r="I41" i="20" s="1"/>
  <c r="H40" i="20"/>
  <c r="G40" i="20"/>
  <c r="F40" i="20"/>
  <c r="E40" i="20"/>
  <c r="E41" i="20" s="1"/>
  <c r="AU39" i="20"/>
  <c r="AU41" i="20" s="1"/>
  <c r="AT39" i="20"/>
  <c r="AT41" i="20" s="1"/>
  <c r="AS39" i="20"/>
  <c r="AR39" i="20"/>
  <c r="AQ39" i="20"/>
  <c r="AQ41" i="20" s="1"/>
  <c r="AP39" i="20"/>
  <c r="AO39" i="20"/>
  <c r="AN39" i="20"/>
  <c r="AM39" i="20"/>
  <c r="AK39" i="20"/>
  <c r="AJ39" i="20"/>
  <c r="AI39" i="20"/>
  <c r="AI41" i="20" s="1"/>
  <c r="AH39" i="20"/>
  <c r="AD39" i="20"/>
  <c r="AE39" i="20" s="1"/>
  <c r="AE41" i="20" s="1"/>
  <c r="AA39" i="20"/>
  <c r="AA41" i="20" s="1"/>
  <c r="Z39" i="20"/>
  <c r="Z41" i="20" s="1"/>
  <c r="X39" i="20"/>
  <c r="W39" i="20"/>
  <c r="W41" i="20" s="1"/>
  <c r="V39" i="20"/>
  <c r="V41" i="20" s="1"/>
  <c r="Q39" i="20"/>
  <c r="U39" i="20" s="1"/>
  <c r="U41" i="20" s="1"/>
  <c r="P39" i="20"/>
  <c r="T39" i="20" s="1"/>
  <c r="O39" i="20"/>
  <c r="N39" i="20"/>
  <c r="M39" i="20"/>
  <c r="M41" i="20" s="1"/>
  <c r="K39" i="20"/>
  <c r="I39" i="20"/>
  <c r="J39" i="20" s="1"/>
  <c r="G39" i="20"/>
  <c r="G41" i="20" s="1"/>
  <c r="E39" i="20"/>
  <c r="F39" i="20" s="1"/>
  <c r="F41" i="20" s="1"/>
  <c r="E27" i="3"/>
  <c r="N41" i="20" l="1"/>
  <c r="M41" i="21"/>
  <c r="J41" i="20"/>
  <c r="O41" i="20"/>
  <c r="AP41" i="20"/>
  <c r="N41" i="21"/>
  <c r="AA41" i="21"/>
  <c r="K41" i="20"/>
  <c r="T41" i="20"/>
  <c r="AH41" i="20"/>
  <c r="AM41" i="20"/>
  <c r="J41" i="21"/>
  <c r="O41" i="21"/>
  <c r="W41" i="21"/>
  <c r="AE41" i="21"/>
  <c r="AP41" i="21"/>
  <c r="AC39" i="21"/>
  <c r="P41" i="21"/>
  <c r="H39" i="21"/>
  <c r="H41" i="21" s="1"/>
  <c r="Q41" i="21"/>
  <c r="AD41" i="21"/>
  <c r="AD45" i="21" s="1"/>
  <c r="Y39" i="21"/>
  <c r="Y41" i="21" s="1"/>
  <c r="E28" i="21" s="1"/>
  <c r="AC39" i="20"/>
  <c r="AC41" i="20" s="1"/>
  <c r="AB41" i="20"/>
  <c r="P41" i="20"/>
  <c r="H39" i="20"/>
  <c r="H41" i="20" s="1"/>
  <c r="Q41" i="20"/>
  <c r="AD41" i="20"/>
  <c r="Y39" i="20"/>
  <c r="Y41" i="20" s="1"/>
  <c r="E28" i="20" s="1"/>
  <c r="AD45" i="20" l="1"/>
  <c r="A6" i="3" l="1"/>
  <c r="S39" i="3" s="1"/>
  <c r="B2" i="3" l="1"/>
  <c r="D6" i="3"/>
  <c r="C6" i="3"/>
  <c r="B6" i="3"/>
  <c r="B3" i="3"/>
  <c r="AQ39" i="3" l="1"/>
  <c r="AQ41" i="3" s="1"/>
  <c r="D22" i="3"/>
  <c r="D24" i="3"/>
  <c r="D28" i="3"/>
  <c r="D25" i="3"/>
  <c r="D26" i="3"/>
  <c r="D29" i="3"/>
  <c r="D18" i="3"/>
  <c r="D23" i="3"/>
  <c r="J28" i="3"/>
  <c r="D13" i="3"/>
  <c r="D21" i="3"/>
  <c r="D19" i="3"/>
  <c r="D20" i="3"/>
  <c r="J27" i="3"/>
  <c r="D27" i="3" s="1"/>
  <c r="D15" i="3"/>
  <c r="D16" i="3"/>
  <c r="D17" i="3"/>
  <c r="D14" i="3"/>
  <c r="I16" i="3"/>
  <c r="I15" i="3"/>
  <c r="E6" i="3"/>
  <c r="K39" i="3"/>
  <c r="M39" i="3"/>
  <c r="N39" i="3"/>
  <c r="O39" i="3"/>
  <c r="P39" i="3"/>
  <c r="T39" i="3" s="1"/>
  <c r="Q39" i="3"/>
  <c r="U39" i="3" s="1"/>
  <c r="E39" i="3"/>
  <c r="G39" i="3"/>
  <c r="H39" i="3" s="1"/>
  <c r="I39" i="3"/>
  <c r="J39" i="3" s="1"/>
  <c r="V39" i="3"/>
  <c r="W39" i="3"/>
  <c r="AH39" i="3"/>
  <c r="AI39" i="3"/>
  <c r="AJ39" i="3"/>
  <c r="AK39" i="3"/>
  <c r="X39" i="3"/>
  <c r="Y39" i="3"/>
  <c r="Z39" i="3"/>
  <c r="AA39" i="3"/>
  <c r="AL41" i="27"/>
  <c r="S41" i="27"/>
  <c r="R41" i="27"/>
  <c r="L41" i="27"/>
  <c r="AK39" i="27"/>
  <c r="AJ39" i="27"/>
  <c r="AI39" i="27"/>
  <c r="AH39" i="27"/>
  <c r="AA39" i="27"/>
  <c r="Z39" i="27"/>
  <c r="X39" i="27"/>
  <c r="W39" i="27"/>
  <c r="V39" i="27"/>
  <c r="Q39" i="27"/>
  <c r="U39" i="27" s="1"/>
  <c r="P39" i="27"/>
  <c r="O39" i="27"/>
  <c r="Y39" i="27"/>
  <c r="N39" i="27"/>
  <c r="M39" i="27"/>
  <c r="K39" i="27"/>
  <c r="I39" i="27"/>
  <c r="G39" i="27"/>
  <c r="E39" i="27"/>
  <c r="E27" i="27"/>
  <c r="E6" i="27"/>
  <c r="AM39" i="27"/>
  <c r="AL41" i="26"/>
  <c r="S41" i="26"/>
  <c r="R41" i="26"/>
  <c r="L41" i="26"/>
  <c r="AJ39" i="26"/>
  <c r="AI39" i="26"/>
  <c r="AH39" i="26"/>
  <c r="AA39" i="26"/>
  <c r="W39" i="26"/>
  <c r="V39" i="26"/>
  <c r="P39" i="26"/>
  <c r="T39" i="26"/>
  <c r="Q39" i="26"/>
  <c r="O39" i="26"/>
  <c r="Y39" i="26"/>
  <c r="N39" i="26"/>
  <c r="M39" i="26"/>
  <c r="I39" i="26"/>
  <c r="G39" i="26"/>
  <c r="H39" i="26"/>
  <c r="E39" i="26"/>
  <c r="E27" i="26"/>
  <c r="Z39" i="26"/>
  <c r="AL41" i="25"/>
  <c r="S41" i="25"/>
  <c r="R41" i="25"/>
  <c r="L41" i="25"/>
  <c r="AJ39" i="25"/>
  <c r="AI39" i="25"/>
  <c r="AH39" i="25"/>
  <c r="W39" i="25"/>
  <c r="V39" i="25"/>
  <c r="Q39" i="25"/>
  <c r="P39" i="25"/>
  <c r="T39" i="25" s="1"/>
  <c r="O39" i="25"/>
  <c r="N39" i="25"/>
  <c r="M39" i="25"/>
  <c r="I39" i="25"/>
  <c r="G39" i="25"/>
  <c r="H39" i="25" s="1"/>
  <c r="E39" i="25"/>
  <c r="F39" i="25" s="1"/>
  <c r="E27" i="25"/>
  <c r="Z39" i="25"/>
  <c r="AL41" i="24"/>
  <c r="S41" i="24"/>
  <c r="R41" i="24"/>
  <c r="L41" i="24"/>
  <c r="AJ39" i="24"/>
  <c r="AI39" i="24"/>
  <c r="AH39" i="24"/>
  <c r="AA39" i="24"/>
  <c r="W39" i="24"/>
  <c r="V39" i="24"/>
  <c r="Q39" i="24"/>
  <c r="P39" i="24"/>
  <c r="T39" i="24" s="1"/>
  <c r="O39" i="24"/>
  <c r="Y39" i="24" s="1"/>
  <c r="N39" i="24"/>
  <c r="M39" i="24"/>
  <c r="I39" i="24"/>
  <c r="J39" i="24" s="1"/>
  <c r="G39" i="24"/>
  <c r="H39" i="24" s="1"/>
  <c r="E39" i="24"/>
  <c r="E27" i="24"/>
  <c r="Z39" i="24"/>
  <c r="AL41" i="23"/>
  <c r="S41" i="23"/>
  <c r="R41" i="23"/>
  <c r="L41" i="23"/>
  <c r="AJ39" i="23"/>
  <c r="AI39" i="23"/>
  <c r="AH39" i="23"/>
  <c r="W39" i="23"/>
  <c r="V39" i="23"/>
  <c r="Q39" i="23"/>
  <c r="U39" i="23" s="1"/>
  <c r="P39" i="23"/>
  <c r="O39" i="23"/>
  <c r="Y39" i="23"/>
  <c r="N39" i="23"/>
  <c r="M39" i="23"/>
  <c r="I39" i="23"/>
  <c r="G39" i="23"/>
  <c r="H39" i="23"/>
  <c r="E39" i="23"/>
  <c r="E27" i="23"/>
  <c r="Z39" i="23"/>
  <c r="AL41" i="22"/>
  <c r="S41" i="22"/>
  <c r="R41" i="22"/>
  <c r="L41" i="22"/>
  <c r="AI39" i="22"/>
  <c r="E27" i="22"/>
  <c r="Z39" i="22"/>
  <c r="V39" i="22"/>
  <c r="E27" i="21"/>
  <c r="E27" i="20"/>
  <c r="AL41" i="19"/>
  <c r="S41" i="19"/>
  <c r="R41" i="19"/>
  <c r="L41" i="19"/>
  <c r="AA39" i="19"/>
  <c r="E27" i="19"/>
  <c r="Z39" i="19"/>
  <c r="M39" i="19"/>
  <c r="AL41" i="18"/>
  <c r="S41" i="18"/>
  <c r="R41" i="18"/>
  <c r="L41" i="18"/>
  <c r="AI39" i="18"/>
  <c r="AA39" i="18"/>
  <c r="N39" i="18"/>
  <c r="E27" i="18"/>
  <c r="Z39" i="18"/>
  <c r="V39" i="18"/>
  <c r="AL41" i="17"/>
  <c r="S41" i="17"/>
  <c r="R41" i="17"/>
  <c r="L41" i="17"/>
  <c r="AI39" i="17"/>
  <c r="E27" i="17"/>
  <c r="V39" i="17"/>
  <c r="AH39" i="17"/>
  <c r="AA39" i="25"/>
  <c r="M39" i="18"/>
  <c r="Q39" i="19"/>
  <c r="U39" i="19" s="1"/>
  <c r="AA39" i="23"/>
  <c r="G39" i="19"/>
  <c r="H39" i="19" s="1"/>
  <c r="W39" i="18"/>
  <c r="AH39" i="19"/>
  <c r="B9" i="27"/>
  <c r="H9" i="27"/>
  <c r="H39" i="27"/>
  <c r="G9" i="27"/>
  <c r="L9" i="27"/>
  <c r="C9" i="27"/>
  <c r="J9" i="27"/>
  <c r="AN39" i="27"/>
  <c r="F9" i="27"/>
  <c r="AF39" i="27"/>
  <c r="K9" i="27"/>
  <c r="AO39" i="27"/>
  <c r="I9" i="27"/>
  <c r="J39" i="27"/>
  <c r="AP39" i="27"/>
  <c r="X39" i="26"/>
  <c r="E6" i="26"/>
  <c r="F39" i="26"/>
  <c r="J39" i="26"/>
  <c r="U39" i="26"/>
  <c r="AK39" i="26"/>
  <c r="K39" i="26"/>
  <c r="X39" i="25"/>
  <c r="E6" i="25"/>
  <c r="F9" i="25" s="1"/>
  <c r="J39" i="25"/>
  <c r="U39" i="25"/>
  <c r="AK39" i="25"/>
  <c r="K39" i="25"/>
  <c r="X39" i="24"/>
  <c r="E6" i="24"/>
  <c r="E9" i="24" s="1"/>
  <c r="F39" i="24"/>
  <c r="U39" i="24"/>
  <c r="AK39" i="24"/>
  <c r="K39" i="24"/>
  <c r="T39" i="23"/>
  <c r="F39" i="23"/>
  <c r="J39" i="23"/>
  <c r="AK39" i="23"/>
  <c r="K39" i="23"/>
  <c r="AA39" i="22"/>
  <c r="E39" i="22"/>
  <c r="F39" i="22" s="1"/>
  <c r="N39" i="22"/>
  <c r="AJ39" i="22"/>
  <c r="O39" i="22"/>
  <c r="AK39" i="22"/>
  <c r="E6" i="21"/>
  <c r="B9" i="21" s="1"/>
  <c r="E6" i="20"/>
  <c r="K9" i="20"/>
  <c r="V39" i="19"/>
  <c r="P39" i="19"/>
  <c r="T39" i="19" s="1"/>
  <c r="X39" i="19"/>
  <c r="N39" i="19"/>
  <c r="I39" i="19"/>
  <c r="W39" i="19"/>
  <c r="AI39" i="19"/>
  <c r="K39" i="19"/>
  <c r="O39" i="19"/>
  <c r="AJ39" i="19"/>
  <c r="E39" i="19"/>
  <c r="E6" i="19"/>
  <c r="B9" i="19" s="1"/>
  <c r="AK39" i="19"/>
  <c r="Q39" i="18"/>
  <c r="U39" i="18" s="1"/>
  <c r="E39" i="18"/>
  <c r="AJ39" i="18"/>
  <c r="E9" i="18"/>
  <c r="F39" i="18"/>
  <c r="O39" i="18"/>
  <c r="AK39" i="18"/>
  <c r="F9" i="18"/>
  <c r="G39" i="18"/>
  <c r="E39" i="17"/>
  <c r="N39" i="17"/>
  <c r="AJ39" i="17"/>
  <c r="F39" i="17"/>
  <c r="O39" i="17"/>
  <c r="Y39" i="17" s="1"/>
  <c r="AK39" i="17"/>
  <c r="AU39" i="27"/>
  <c r="J9" i="26"/>
  <c r="F9" i="26"/>
  <c r="AP39" i="26"/>
  <c r="I9" i="26"/>
  <c r="AN39" i="26"/>
  <c r="K9" i="26"/>
  <c r="D9" i="26"/>
  <c r="E9" i="26"/>
  <c r="J9" i="25"/>
  <c r="I9" i="25"/>
  <c r="H9" i="25"/>
  <c r="K9" i="25"/>
  <c r="F9" i="21"/>
  <c r="D9" i="24"/>
  <c r="AM39" i="24"/>
  <c r="J9" i="24"/>
  <c r="F9" i="24"/>
  <c r="AF39" i="24" s="1"/>
  <c r="B9" i="24"/>
  <c r="C29" i="24" s="1"/>
  <c r="K9" i="24"/>
  <c r="C9" i="24"/>
  <c r="AP39" i="24"/>
  <c r="I9" i="24"/>
  <c r="AN39" i="24"/>
  <c r="G9" i="24"/>
  <c r="AO39" i="24"/>
  <c r="L9" i="24"/>
  <c r="AU39" i="24" s="1"/>
  <c r="H9" i="24"/>
  <c r="F9" i="20"/>
  <c r="I9" i="21"/>
  <c r="C9" i="21"/>
  <c r="D9" i="21"/>
  <c r="H9" i="18"/>
  <c r="I9" i="18"/>
  <c r="Y39" i="22"/>
  <c r="J9" i="21"/>
  <c r="L9" i="21"/>
  <c r="G9" i="21"/>
  <c r="H9" i="21"/>
  <c r="K9" i="21"/>
  <c r="E9" i="21"/>
  <c r="C9" i="20"/>
  <c r="B9" i="20"/>
  <c r="L9" i="20"/>
  <c r="J9" i="20"/>
  <c r="H9" i="20"/>
  <c r="I9" i="20"/>
  <c r="D9" i="20"/>
  <c r="G9" i="20"/>
  <c r="E9" i="20"/>
  <c r="AM39" i="19"/>
  <c r="AN39" i="19"/>
  <c r="K9" i="19"/>
  <c r="F39" i="19"/>
  <c r="G9" i="19"/>
  <c r="F9" i="19"/>
  <c r="Y39" i="19"/>
  <c r="J39" i="19"/>
  <c r="Y39" i="18"/>
  <c r="AM39" i="18"/>
  <c r="AO39" i="18"/>
  <c r="AP39" i="18"/>
  <c r="AN39" i="18"/>
  <c r="L9" i="18"/>
  <c r="AU39" i="18" s="1"/>
  <c r="K9" i="18"/>
  <c r="D9" i="18"/>
  <c r="G9" i="18"/>
  <c r="J9" i="18"/>
  <c r="AD39" i="27"/>
  <c r="AU38" i="27"/>
  <c r="AB39" i="27"/>
  <c r="AF39" i="18"/>
  <c r="AG39" i="18" s="1"/>
  <c r="AC39" i="27"/>
  <c r="AE39" i="27"/>
  <c r="AP40" i="27"/>
  <c r="AP41" i="27" s="1"/>
  <c r="AP40" i="25"/>
  <c r="AP40" i="26"/>
  <c r="AP40" i="23"/>
  <c r="AP40" i="22"/>
  <c r="AP40" i="18"/>
  <c r="AP41" i="18" s="1"/>
  <c r="AP40" i="19"/>
  <c r="AP40" i="17"/>
  <c r="AP40" i="24"/>
  <c r="AP40" i="3"/>
  <c r="Z40" i="26"/>
  <c r="Z41" i="26" s="1"/>
  <c r="Z40" i="23"/>
  <c r="Z41" i="23" s="1"/>
  <c r="Z40" i="22"/>
  <c r="Z40" i="27"/>
  <c r="Z40" i="25"/>
  <c r="Z41" i="25"/>
  <c r="Z40" i="24"/>
  <c r="Z41" i="24" s="1"/>
  <c r="Z40" i="18"/>
  <c r="Z41" i="18" s="1"/>
  <c r="Z40" i="17"/>
  <c r="Z40" i="19"/>
  <c r="Z41" i="19" s="1"/>
  <c r="Z40" i="3"/>
  <c r="D29" i="27"/>
  <c r="D29" i="24"/>
  <c r="D29" i="26"/>
  <c r="D29" i="21"/>
  <c r="D29" i="20"/>
  <c r="D29" i="19"/>
  <c r="D29" i="17"/>
  <c r="D29" i="25"/>
  <c r="AO40" i="27"/>
  <c r="AO41" i="27" s="1"/>
  <c r="AO40" i="25"/>
  <c r="AO40" i="24"/>
  <c r="AO40" i="26"/>
  <c r="AO40" i="23"/>
  <c r="AO40" i="22"/>
  <c r="AO40" i="19"/>
  <c r="AO40" i="18"/>
  <c r="AO40" i="17"/>
  <c r="AO40" i="3"/>
  <c r="Y40" i="27"/>
  <c r="Y41" i="27" s="1"/>
  <c r="Y40" i="25"/>
  <c r="Y40" i="26"/>
  <c r="Y41" i="26" s="1"/>
  <c r="Y40" i="23"/>
  <c r="Y41" i="23" s="1"/>
  <c r="Y40" i="22"/>
  <c r="Y40" i="18"/>
  <c r="Y41" i="18" s="1"/>
  <c r="Y40" i="24"/>
  <c r="Y40" i="17"/>
  <c r="Y40" i="19"/>
  <c r="Y41" i="19" s="1"/>
  <c r="Y40" i="3"/>
  <c r="D28" i="27"/>
  <c r="D28" i="21"/>
  <c r="D28" i="19"/>
  <c r="D28" i="26"/>
  <c r="D28" i="25"/>
  <c r="D28" i="20"/>
  <c r="D28" i="24"/>
  <c r="C28" i="20"/>
  <c r="AM40" i="26"/>
  <c r="AM40" i="23"/>
  <c r="AM40" i="22"/>
  <c r="AM40" i="27"/>
  <c r="AM41" i="27" s="1"/>
  <c r="AM40" i="24"/>
  <c r="AM41" i="24" s="1"/>
  <c r="AM40" i="18"/>
  <c r="AM40" i="17"/>
  <c r="AM40" i="25"/>
  <c r="AM40" i="19"/>
  <c r="AM40" i="3"/>
  <c r="AA40" i="26"/>
  <c r="AA40" i="27"/>
  <c r="AA41" i="27" s="1"/>
  <c r="AA40" i="25"/>
  <c r="AA41" i="25" s="1"/>
  <c r="AA40" i="24"/>
  <c r="AA41" i="24" s="1"/>
  <c r="AA40" i="17"/>
  <c r="AA40" i="23"/>
  <c r="AA40" i="19"/>
  <c r="AA40" i="22"/>
  <c r="AA41" i="22" s="1"/>
  <c r="AA40" i="18"/>
  <c r="AA41" i="18" s="1"/>
  <c r="AA40" i="3"/>
  <c r="AN40" i="26"/>
  <c r="AN41" i="26" s="1"/>
  <c r="AN40" i="27"/>
  <c r="AN41" i="27" s="1"/>
  <c r="AN40" i="24"/>
  <c r="AN41" i="24"/>
  <c r="AN40" i="25"/>
  <c r="AN40" i="23"/>
  <c r="AN40" i="17"/>
  <c r="AN40" i="19"/>
  <c r="AN40" i="18"/>
  <c r="AN41" i="18" s="1"/>
  <c r="AN40" i="22"/>
  <c r="AN40" i="3"/>
  <c r="X40" i="27"/>
  <c r="X40" i="24"/>
  <c r="X40" i="26"/>
  <c r="X41" i="26" s="1"/>
  <c r="X40" i="25"/>
  <c r="X41" i="25" s="1"/>
  <c r="X40" i="23"/>
  <c r="X40" i="22"/>
  <c r="X40" i="19"/>
  <c r="X40" i="17"/>
  <c r="X40" i="18"/>
  <c r="X40" i="3"/>
  <c r="AL41" i="3"/>
  <c r="L41" i="3"/>
  <c r="R41" i="3"/>
  <c r="S41" i="3"/>
  <c r="N40" i="27"/>
  <c r="N41" i="27" s="1"/>
  <c r="N40" i="24"/>
  <c r="N41" i="24" s="1"/>
  <c r="N40" i="25"/>
  <c r="N41" i="25" s="1"/>
  <c r="N40" i="23"/>
  <c r="N41" i="23"/>
  <c r="N40" i="22"/>
  <c r="N41" i="22" s="1"/>
  <c r="N40" i="19"/>
  <c r="N41" i="19" s="1"/>
  <c r="N40" i="26"/>
  <c r="N40" i="18"/>
  <c r="N40" i="17"/>
  <c r="N41" i="17" s="1"/>
  <c r="N40" i="3"/>
  <c r="Q40" i="26"/>
  <c r="Q41" i="26" s="1"/>
  <c r="Q40" i="27"/>
  <c r="Q41" i="27" s="1"/>
  <c r="Q40" i="24"/>
  <c r="Q41" i="24" s="1"/>
  <c r="Q40" i="22"/>
  <c r="Q40" i="17"/>
  <c r="Q40" i="25"/>
  <c r="Q41" i="25" s="1"/>
  <c r="Q40" i="23"/>
  <c r="Q41" i="23" s="1"/>
  <c r="Q40" i="19"/>
  <c r="Q40" i="18"/>
  <c r="Q40" i="3"/>
  <c r="M40" i="26"/>
  <c r="M41" i="26" s="1"/>
  <c r="M40" i="27"/>
  <c r="M40" i="24"/>
  <c r="M41" i="24" s="1"/>
  <c r="M40" i="17"/>
  <c r="M40" i="22"/>
  <c r="M40" i="19"/>
  <c r="M40" i="25"/>
  <c r="M41" i="25" s="1"/>
  <c r="M40" i="23"/>
  <c r="M41" i="23" s="1"/>
  <c r="M40" i="18"/>
  <c r="M40" i="3"/>
  <c r="P40" i="26"/>
  <c r="P41" i="26" s="1"/>
  <c r="P40" i="25"/>
  <c r="P41" i="25" s="1"/>
  <c r="P40" i="23"/>
  <c r="P41" i="23"/>
  <c r="P40" i="22"/>
  <c r="P40" i="24"/>
  <c r="P40" i="27"/>
  <c r="P40" i="17"/>
  <c r="P40" i="19"/>
  <c r="P41" i="19" s="1"/>
  <c r="P40" i="18"/>
  <c r="P40" i="3"/>
  <c r="C22" i="24"/>
  <c r="D13" i="27"/>
  <c r="D13" i="26"/>
  <c r="D13" i="25"/>
  <c r="D13" i="24"/>
  <c r="D13" i="23"/>
  <c r="D13" i="20"/>
  <c r="D13" i="19"/>
  <c r="D13" i="21"/>
  <c r="D16" i="27"/>
  <c r="D16" i="26"/>
  <c r="D16" i="25"/>
  <c r="D16" i="24"/>
  <c r="D16" i="23"/>
  <c r="D16" i="19"/>
  <c r="D16" i="20"/>
  <c r="D16" i="21"/>
  <c r="J28" i="27"/>
  <c r="J28" i="19"/>
  <c r="J28" i="24"/>
  <c r="J28" i="23"/>
  <c r="J28" i="21"/>
  <c r="J28" i="25"/>
  <c r="J28" i="20"/>
  <c r="J28" i="26"/>
  <c r="J28" i="17"/>
  <c r="J28" i="18"/>
  <c r="O40" i="27"/>
  <c r="O41" i="27" s="1"/>
  <c r="O40" i="26"/>
  <c r="O41" i="26" s="1"/>
  <c r="O40" i="25"/>
  <c r="O40" i="23"/>
  <c r="O41" i="23" s="1"/>
  <c r="O40" i="22"/>
  <c r="O41" i="22" s="1"/>
  <c r="O40" i="18"/>
  <c r="O41" i="18" s="1"/>
  <c r="O40" i="24"/>
  <c r="O40" i="19"/>
  <c r="O41" i="19"/>
  <c r="O40" i="17"/>
  <c r="O41" i="17" s="1"/>
  <c r="O40" i="3"/>
  <c r="D22" i="26"/>
  <c r="D22" i="25"/>
  <c r="D22" i="23"/>
  <c r="D22" i="24"/>
  <c r="D22" i="27"/>
  <c r="D22" i="21"/>
  <c r="D22" i="20"/>
  <c r="D22" i="17"/>
  <c r="D22" i="19"/>
  <c r="I28" i="20"/>
  <c r="V40" i="26"/>
  <c r="V41" i="26" s="1"/>
  <c r="V40" i="25"/>
  <c r="V41" i="25" s="1"/>
  <c r="V40" i="23"/>
  <c r="V41" i="23" s="1"/>
  <c r="V40" i="22"/>
  <c r="V41" i="22" s="1"/>
  <c r="V40" i="27"/>
  <c r="V41" i="27" s="1"/>
  <c r="V40" i="24"/>
  <c r="V41" i="24" s="1"/>
  <c r="V40" i="17"/>
  <c r="V41" i="17" s="1"/>
  <c r="V40" i="18"/>
  <c r="V41" i="18" s="1"/>
  <c r="V40" i="19"/>
  <c r="V41" i="19" s="1"/>
  <c r="V40" i="3"/>
  <c r="U40" i="27"/>
  <c r="U41" i="27" s="1"/>
  <c r="U40" i="26"/>
  <c r="U41" i="26" s="1"/>
  <c r="U40" i="25"/>
  <c r="U40" i="23"/>
  <c r="U41" i="23"/>
  <c r="U40" i="22"/>
  <c r="U40" i="24"/>
  <c r="U41" i="24" s="1"/>
  <c r="U40" i="18"/>
  <c r="U40" i="17"/>
  <c r="U40" i="19"/>
  <c r="U41" i="19"/>
  <c r="U40" i="3"/>
  <c r="D19" i="27"/>
  <c r="D19" i="21"/>
  <c r="D19" i="19"/>
  <c r="D19" i="26"/>
  <c r="D19" i="25"/>
  <c r="D19" i="20"/>
  <c r="D19" i="24"/>
  <c r="D19" i="23"/>
  <c r="D19" i="17"/>
  <c r="D17" i="27"/>
  <c r="D17" i="24"/>
  <c r="D17" i="25"/>
  <c r="D17" i="23"/>
  <c r="D17" i="26"/>
  <c r="D17" i="21"/>
  <c r="D17" i="20"/>
  <c r="D17" i="17"/>
  <c r="D17" i="19"/>
  <c r="T40" i="27"/>
  <c r="T40" i="24"/>
  <c r="T41" i="24" s="1"/>
  <c r="T40" i="26"/>
  <c r="T41" i="26" s="1"/>
  <c r="T40" i="25"/>
  <c r="T41" i="25" s="1"/>
  <c r="T40" i="23"/>
  <c r="T41" i="23" s="1"/>
  <c r="T40" i="22"/>
  <c r="T40" i="19"/>
  <c r="T40" i="18"/>
  <c r="T40" i="17"/>
  <c r="T40" i="3"/>
  <c r="D18" i="27"/>
  <c r="D18" i="24"/>
  <c r="D18" i="26"/>
  <c r="D18" i="25"/>
  <c r="D18" i="21"/>
  <c r="D18" i="23"/>
  <c r="D18" i="20"/>
  <c r="D18" i="19"/>
  <c r="D18" i="18"/>
  <c r="D18" i="17"/>
  <c r="D15" i="27"/>
  <c r="D15" i="26"/>
  <c r="D15" i="25"/>
  <c r="D15" i="20"/>
  <c r="D15" i="24"/>
  <c r="D15" i="23"/>
  <c r="D15" i="18"/>
  <c r="D15" i="17"/>
  <c r="D15" i="21"/>
  <c r="D15" i="19"/>
  <c r="W40" i="26"/>
  <c r="W41" i="26" s="1"/>
  <c r="W40" i="27"/>
  <c r="W41" i="27"/>
  <c r="W40" i="24"/>
  <c r="W40" i="25"/>
  <c r="W40" i="23"/>
  <c r="W41" i="23" s="1"/>
  <c r="W40" i="17"/>
  <c r="W40" i="19"/>
  <c r="W41" i="19" s="1"/>
  <c r="W40" i="22"/>
  <c r="W40" i="18"/>
  <c r="W40" i="3"/>
  <c r="J40" i="27"/>
  <c r="J40" i="26"/>
  <c r="J41" i="26" s="1"/>
  <c r="J40" i="25"/>
  <c r="J41" i="25" s="1"/>
  <c r="J40" i="23"/>
  <c r="J41" i="23" s="1"/>
  <c r="J40" i="22"/>
  <c r="J40" i="18"/>
  <c r="J40" i="17"/>
  <c r="J40" i="24"/>
  <c r="J40" i="19"/>
  <c r="J41" i="19" s="1"/>
  <c r="J40" i="3"/>
  <c r="AK40" i="27"/>
  <c r="AK41" i="27" s="1"/>
  <c r="AK40" i="25"/>
  <c r="AK41" i="25" s="1"/>
  <c r="AK40" i="26"/>
  <c r="AK41" i="26" s="1"/>
  <c r="AK40" i="23"/>
  <c r="AK41" i="23" s="1"/>
  <c r="AK40" i="22"/>
  <c r="AK41" i="22" s="1"/>
  <c r="AK40" i="24"/>
  <c r="AK41" i="24" s="1"/>
  <c r="AK40" i="18"/>
  <c r="AK41" i="18" s="1"/>
  <c r="AK40" i="17"/>
  <c r="AK41" i="17" s="1"/>
  <c r="AK40" i="19"/>
  <c r="AK41" i="19" s="1"/>
  <c r="AK40" i="3"/>
  <c r="AI40" i="26"/>
  <c r="AI41" i="26" s="1"/>
  <c r="AI40" i="27"/>
  <c r="AI40" i="25"/>
  <c r="AI41" i="25" s="1"/>
  <c r="AI40" i="24"/>
  <c r="AI41" i="24" s="1"/>
  <c r="AI40" i="22"/>
  <c r="AI41" i="22" s="1"/>
  <c r="AI40" i="17"/>
  <c r="AI41" i="17" s="1"/>
  <c r="AI40" i="23"/>
  <c r="AI41" i="23" s="1"/>
  <c r="AI40" i="19"/>
  <c r="AI41" i="19" s="1"/>
  <c r="AI40" i="18"/>
  <c r="AI41" i="18" s="1"/>
  <c r="AI40" i="3"/>
  <c r="K40" i="26"/>
  <c r="K41" i="26" s="1"/>
  <c r="E20" i="26" s="1"/>
  <c r="K40" i="27"/>
  <c r="K41" i="27" s="1"/>
  <c r="E20" i="27" s="1"/>
  <c r="K40" i="25"/>
  <c r="K41" i="25" s="1"/>
  <c r="E20" i="25" s="1"/>
  <c r="K40" i="23"/>
  <c r="K41" i="23" s="1"/>
  <c r="E20" i="23" s="1"/>
  <c r="K40" i="22"/>
  <c r="E20" i="21"/>
  <c r="K40" i="24"/>
  <c r="K41" i="24" s="1"/>
  <c r="E20" i="24" s="1"/>
  <c r="K40" i="18"/>
  <c r="E20" i="20"/>
  <c r="K40" i="17"/>
  <c r="K40" i="19"/>
  <c r="K41" i="19" s="1"/>
  <c r="E20" i="19" s="1"/>
  <c r="K40" i="3"/>
  <c r="I40" i="27"/>
  <c r="I41" i="27" s="1"/>
  <c r="I40" i="26"/>
  <c r="I41" i="26" s="1"/>
  <c r="I40" i="24"/>
  <c r="I41" i="24" s="1"/>
  <c r="I40" i="25"/>
  <c r="I41" i="25" s="1"/>
  <c r="I40" i="23"/>
  <c r="I41" i="23" s="1"/>
  <c r="I40" i="22"/>
  <c r="I40" i="19"/>
  <c r="I41" i="19" s="1"/>
  <c r="I40" i="18"/>
  <c r="I40" i="17"/>
  <c r="I40" i="3"/>
  <c r="AD40" i="26"/>
  <c r="AD40" i="27"/>
  <c r="AD41" i="27" s="1"/>
  <c r="AD40" i="23"/>
  <c r="AD40" i="22"/>
  <c r="AD40" i="24"/>
  <c r="AD40" i="17"/>
  <c r="AD40" i="25"/>
  <c r="AD40" i="19"/>
  <c r="AD40" i="18"/>
  <c r="AD40" i="3"/>
  <c r="AB40" i="27"/>
  <c r="AB41" i="27" s="1"/>
  <c r="AB40" i="25"/>
  <c r="AB40" i="26"/>
  <c r="AB40" i="24"/>
  <c r="AB40" i="23"/>
  <c r="AB40" i="22"/>
  <c r="AB40" i="19"/>
  <c r="AB40" i="18"/>
  <c r="AB40" i="17"/>
  <c r="AB40" i="3"/>
  <c r="G40" i="26"/>
  <c r="G41" i="26" s="1"/>
  <c r="G40" i="25"/>
  <c r="G41" i="25"/>
  <c r="G40" i="23"/>
  <c r="G41" i="23" s="1"/>
  <c r="G40" i="22"/>
  <c r="G40" i="27"/>
  <c r="G41" i="27"/>
  <c r="G40" i="24"/>
  <c r="G41" i="24" s="1"/>
  <c r="G40" i="17"/>
  <c r="G40" i="18"/>
  <c r="G40" i="19"/>
  <c r="G41" i="19" s="1"/>
  <c r="G40" i="3"/>
  <c r="AH40" i="26"/>
  <c r="AH41" i="26" s="1"/>
  <c r="AH40" i="23"/>
  <c r="AH41" i="23" s="1"/>
  <c r="AH40" i="22"/>
  <c r="AH40" i="25"/>
  <c r="AH41" i="25" s="1"/>
  <c r="AH40" i="24"/>
  <c r="AH41" i="24" s="1"/>
  <c r="AH40" i="17"/>
  <c r="AH40" i="18"/>
  <c r="AH40" i="19"/>
  <c r="AH41" i="19" s="1"/>
  <c r="AH40" i="27"/>
  <c r="AH41" i="27"/>
  <c r="AH40" i="3"/>
  <c r="AC40" i="27"/>
  <c r="AC40" i="25"/>
  <c r="AC40" i="26"/>
  <c r="AC40" i="23"/>
  <c r="AC40" i="22"/>
  <c r="AC40" i="18"/>
  <c r="AC40" i="19"/>
  <c r="AC40" i="24"/>
  <c r="AC40" i="17"/>
  <c r="AC40" i="3"/>
  <c r="C24" i="20"/>
  <c r="AF40" i="27"/>
  <c r="AF40" i="25"/>
  <c r="AF40" i="24"/>
  <c r="AF40" i="23"/>
  <c r="AF40" i="22"/>
  <c r="AF40" i="26"/>
  <c r="AF40" i="19"/>
  <c r="AF40" i="17"/>
  <c r="AF40" i="18"/>
  <c r="AF41" i="18" s="1"/>
  <c r="AF40" i="3"/>
  <c r="F40" i="27"/>
  <c r="F40" i="26"/>
  <c r="F41" i="26"/>
  <c r="F40" i="25"/>
  <c r="F40" i="23"/>
  <c r="F41" i="23" s="1"/>
  <c r="F40" i="22"/>
  <c r="F41" i="22" s="1"/>
  <c r="F40" i="18"/>
  <c r="F40" i="17"/>
  <c r="F41" i="17" s="1"/>
  <c r="F40" i="19"/>
  <c r="F41" i="19" s="1"/>
  <c r="F40" i="24"/>
  <c r="F41" i="24" s="1"/>
  <c r="F40" i="3"/>
  <c r="AG40" i="27"/>
  <c r="AG40" i="25"/>
  <c r="AG40" i="26"/>
  <c r="AG40" i="23"/>
  <c r="AG40" i="22"/>
  <c r="AG40" i="18"/>
  <c r="AG41" i="18" s="1"/>
  <c r="AG40" i="24"/>
  <c r="AG40" i="17"/>
  <c r="AG40" i="19"/>
  <c r="AG40" i="3"/>
  <c r="E40" i="27"/>
  <c r="E40" i="24"/>
  <c r="E41" i="24" s="1"/>
  <c r="E40" i="26"/>
  <c r="E41" i="26" s="1"/>
  <c r="E40" i="25"/>
  <c r="E40" i="23"/>
  <c r="E41" i="23" s="1"/>
  <c r="E40" i="22"/>
  <c r="E41" i="22" s="1"/>
  <c r="E40" i="19"/>
  <c r="E41" i="19" s="1"/>
  <c r="E40" i="17"/>
  <c r="E41" i="17" s="1"/>
  <c r="E40" i="18"/>
  <c r="E41" i="18" s="1"/>
  <c r="E40" i="3"/>
  <c r="H40" i="26"/>
  <c r="H41" i="26" s="1"/>
  <c r="H40" i="27"/>
  <c r="H41" i="27" s="1"/>
  <c r="H40" i="24"/>
  <c r="H41" i="24" s="1"/>
  <c r="H40" i="17"/>
  <c r="H40" i="25"/>
  <c r="H40" i="19"/>
  <c r="H40" i="23"/>
  <c r="H41" i="23" s="1"/>
  <c r="H40" i="22"/>
  <c r="H40" i="18"/>
  <c r="H40" i="3"/>
  <c r="AE40" i="26"/>
  <c r="AE40" i="27"/>
  <c r="AE41" i="27" s="1"/>
  <c r="AE40" i="24"/>
  <c r="AE40" i="25"/>
  <c r="AE40" i="17"/>
  <c r="AE40" i="22"/>
  <c r="AE40" i="19"/>
  <c r="AE40" i="23"/>
  <c r="AE40" i="18"/>
  <c r="AE40" i="3"/>
  <c r="D24" i="27"/>
  <c r="D24" i="24"/>
  <c r="D24" i="26"/>
  <c r="D24" i="17"/>
  <c r="D24" i="25"/>
  <c r="D24" i="21"/>
  <c r="D24" i="19"/>
  <c r="D24" i="20"/>
  <c r="D24" i="23"/>
  <c r="AJ40" i="27"/>
  <c r="AJ41" i="27" s="1"/>
  <c r="AJ40" i="25"/>
  <c r="AJ41" i="25" s="1"/>
  <c r="AJ40" i="24"/>
  <c r="AJ40" i="26"/>
  <c r="AJ41" i="26"/>
  <c r="AJ40" i="23"/>
  <c r="AJ41" i="23" s="1"/>
  <c r="AJ40" i="22"/>
  <c r="AJ41" i="22" s="1"/>
  <c r="AJ40" i="19"/>
  <c r="AJ41" i="19" s="1"/>
  <c r="AJ40" i="18"/>
  <c r="AJ41" i="18" s="1"/>
  <c r="AJ40" i="17"/>
  <c r="AJ41" i="17" s="1"/>
  <c r="AJ40" i="3"/>
  <c r="C16" i="21"/>
  <c r="B16" i="21" s="1"/>
  <c r="I5" i="16" s="1"/>
  <c r="C16" i="20"/>
  <c r="C18" i="21"/>
  <c r="C18" i="24"/>
  <c r="C18" i="20"/>
  <c r="D25" i="27"/>
  <c r="D25" i="17"/>
  <c r="D25" i="23"/>
  <c r="D25" i="26"/>
  <c r="D33" i="21"/>
  <c r="D25" i="25"/>
  <c r="D25" i="20"/>
  <c r="D33" i="18"/>
  <c r="D33" i="24"/>
  <c r="D33" i="17"/>
  <c r="D33" i="25"/>
  <c r="D33" i="20"/>
  <c r="D25" i="24"/>
  <c r="D25" i="21"/>
  <c r="D33" i="26"/>
  <c r="D25" i="19"/>
  <c r="D33" i="19"/>
  <c r="D33" i="27"/>
  <c r="D25" i="18"/>
  <c r="D33" i="23"/>
  <c r="D33" i="3"/>
  <c r="D34" i="25"/>
  <c r="D26" i="19"/>
  <c r="D34" i="19"/>
  <c r="D26" i="17"/>
  <c r="D34" i="27"/>
  <c r="D26" i="25"/>
  <c r="D34" i="24"/>
  <c r="D26" i="20"/>
  <c r="D34" i="20"/>
  <c r="D34" i="21"/>
  <c r="D26" i="27"/>
  <c r="D34" i="23"/>
  <c r="D34" i="17"/>
  <c r="D26" i="26"/>
  <c r="D34" i="18"/>
  <c r="D26" i="24"/>
  <c r="D26" i="21"/>
  <c r="D26" i="23"/>
  <c r="D34" i="26"/>
  <c r="J27" i="27"/>
  <c r="D27" i="27" s="1"/>
  <c r="J27" i="24"/>
  <c r="D27" i="24" s="1"/>
  <c r="J27" i="26"/>
  <c r="J27" i="25"/>
  <c r="J27" i="21"/>
  <c r="J27" i="23"/>
  <c r="J27" i="20"/>
  <c r="J27" i="17"/>
  <c r="D27" i="17" s="1"/>
  <c r="J27" i="19"/>
  <c r="D21" i="21"/>
  <c r="D21" i="17"/>
  <c r="D21" i="27"/>
  <c r="D21" i="20"/>
  <c r="D21" i="19"/>
  <c r="D21" i="25"/>
  <c r="D21" i="24"/>
  <c r="D21" i="26"/>
  <c r="D21" i="23"/>
  <c r="D34" i="3"/>
  <c r="D23" i="26"/>
  <c r="D23" i="27"/>
  <c r="D23" i="24"/>
  <c r="D23" i="25"/>
  <c r="D23" i="23"/>
  <c r="D23" i="20"/>
  <c r="D23" i="19"/>
  <c r="D23" i="17"/>
  <c r="D23" i="22"/>
  <c r="D23" i="21"/>
  <c r="D14" i="27"/>
  <c r="D14" i="24"/>
  <c r="D14" i="19"/>
  <c r="D14" i="25"/>
  <c r="D14" i="21"/>
  <c r="D14" i="23"/>
  <c r="D14" i="20"/>
  <c r="D14" i="26"/>
  <c r="D14" i="17"/>
  <c r="D20" i="27"/>
  <c r="D20" i="26"/>
  <c r="D20" i="21"/>
  <c r="D20" i="20"/>
  <c r="D20" i="25"/>
  <c r="D20" i="19"/>
  <c r="D20" i="24"/>
  <c r="D20" i="23"/>
  <c r="D20" i="17"/>
  <c r="C15" i="20"/>
  <c r="C15" i="21"/>
  <c r="C17" i="20"/>
  <c r="C25" i="20"/>
  <c r="C33" i="20"/>
  <c r="C33" i="21"/>
  <c r="C25" i="24"/>
  <c r="C21" i="24"/>
  <c r="C34" i="20"/>
  <c r="C26" i="20"/>
  <c r="C21" i="20"/>
  <c r="C14" i="20"/>
  <c r="C23" i="21"/>
  <c r="C23" i="24"/>
  <c r="C20" i="21"/>
  <c r="C20" i="20"/>
  <c r="I27" i="20"/>
  <c r="I27" i="21"/>
  <c r="C23" i="20"/>
  <c r="C19" i="20"/>
  <c r="B19" i="20" s="1"/>
  <c r="F8" i="16" s="1"/>
  <c r="C19" i="24"/>
  <c r="D27" i="26" l="1"/>
  <c r="D27" i="23"/>
  <c r="D35" i="21"/>
  <c r="Y41" i="24"/>
  <c r="AJ41" i="24"/>
  <c r="AN39" i="25"/>
  <c r="AH41" i="17"/>
  <c r="I17" i="3"/>
  <c r="I14" i="3"/>
  <c r="J14" i="3" s="1"/>
  <c r="I18" i="3"/>
  <c r="B23" i="24"/>
  <c r="H12" i="16" s="1"/>
  <c r="H28" i="20"/>
  <c r="B23" i="21"/>
  <c r="I12" i="16" s="1"/>
  <c r="B15" i="20"/>
  <c r="F4" i="16" s="1"/>
  <c r="D35" i="20"/>
  <c r="AM41" i="19"/>
  <c r="B16" i="20"/>
  <c r="F5" i="16" s="1"/>
  <c r="B29" i="24"/>
  <c r="H18" i="16" s="1"/>
  <c r="B18" i="24"/>
  <c r="H7" i="16" s="1"/>
  <c r="T41" i="19"/>
  <c r="E25" i="19" s="1"/>
  <c r="Q41" i="19"/>
  <c r="H41" i="19"/>
  <c r="E24" i="19" s="1"/>
  <c r="X41" i="19"/>
  <c r="AN41" i="19"/>
  <c r="AA41" i="23"/>
  <c r="D35" i="18"/>
  <c r="B18" i="20"/>
  <c r="F7" i="16" s="1"/>
  <c r="AC41" i="27"/>
  <c r="F41" i="18"/>
  <c r="U41" i="18"/>
  <c r="J41" i="27"/>
  <c r="M41" i="19"/>
  <c r="AA41" i="19"/>
  <c r="E25" i="21"/>
  <c r="W41" i="25"/>
  <c r="N41" i="26"/>
  <c r="E22" i="26" s="1"/>
  <c r="B15" i="21"/>
  <c r="I4" i="16" s="1"/>
  <c r="B20" i="20"/>
  <c r="F9" i="16" s="1"/>
  <c r="D35" i="25"/>
  <c r="Y41" i="17"/>
  <c r="B17" i="20"/>
  <c r="F6" i="16" s="1"/>
  <c r="D35" i="23"/>
  <c r="H27" i="20"/>
  <c r="B21" i="20"/>
  <c r="F10" i="16" s="1"/>
  <c r="AK41" i="3"/>
  <c r="G41" i="3"/>
  <c r="P41" i="3"/>
  <c r="B9" i="3"/>
  <c r="AU39" i="3"/>
  <c r="AU41" i="3" s="1"/>
  <c r="AT39" i="3"/>
  <c r="AT41" i="3" s="1"/>
  <c r="AS39" i="3"/>
  <c r="AS41" i="3" s="1"/>
  <c r="AR39" i="3"/>
  <c r="AR41" i="3" s="1"/>
  <c r="X41" i="3"/>
  <c r="C35" i="20"/>
  <c r="G41" i="18"/>
  <c r="AA41" i="26"/>
  <c r="AI41" i="27"/>
  <c r="B23" i="20"/>
  <c r="F12" i="16" s="1"/>
  <c r="E24" i="23"/>
  <c r="AP41" i="24"/>
  <c r="E28" i="24" s="1"/>
  <c r="AP41" i="26"/>
  <c r="X41" i="24"/>
  <c r="W41" i="24"/>
  <c r="E25" i="24" s="1"/>
  <c r="B25" i="24" s="1"/>
  <c r="H14" i="16" s="1"/>
  <c r="F41" i="25"/>
  <c r="D35" i="24"/>
  <c r="Y41" i="22"/>
  <c r="AN41" i="25"/>
  <c r="J41" i="24"/>
  <c r="E24" i="24" s="1"/>
  <c r="B19" i="24"/>
  <c r="H8" i="16" s="1"/>
  <c r="B20" i="21"/>
  <c r="I9" i="16" s="1"/>
  <c r="D27" i="20"/>
  <c r="D35" i="26"/>
  <c r="D35" i="27"/>
  <c r="AM41" i="18"/>
  <c r="I28" i="18"/>
  <c r="H28" i="18" s="1"/>
  <c r="C18" i="18"/>
  <c r="B18" i="18" s="1"/>
  <c r="B7" i="16" s="1"/>
  <c r="C15" i="18"/>
  <c r="B15" i="18" s="1"/>
  <c r="B4" i="16" s="1"/>
  <c r="I27" i="18"/>
  <c r="C19" i="18"/>
  <c r="C13" i="18"/>
  <c r="C17" i="18"/>
  <c r="C33" i="18"/>
  <c r="C23" i="18"/>
  <c r="M39" i="22"/>
  <c r="M41" i="22" s="1"/>
  <c r="I39" i="22"/>
  <c r="J39" i="22" s="1"/>
  <c r="J41" i="22" s="1"/>
  <c r="P39" i="22"/>
  <c r="T39" i="22" s="1"/>
  <c r="T41" i="22" s="1"/>
  <c r="W39" i="22"/>
  <c r="W41" i="22" s="1"/>
  <c r="Q39" i="22"/>
  <c r="H39" i="22"/>
  <c r="H41" i="22" s="1"/>
  <c r="D29" i="22"/>
  <c r="AH39" i="22"/>
  <c r="AH41" i="22" s="1"/>
  <c r="K39" i="22"/>
  <c r="K41" i="22" s="1"/>
  <c r="E20" i="22" s="1"/>
  <c r="D28" i="22"/>
  <c r="E6" i="22"/>
  <c r="G39" i="22"/>
  <c r="G41" i="22" s="1"/>
  <c r="J28" i="22"/>
  <c r="D22" i="22"/>
  <c r="D24" i="22"/>
  <c r="D34" i="22"/>
  <c r="D14" i="22"/>
  <c r="X39" i="22"/>
  <c r="X41" i="22" s="1"/>
  <c r="D19" i="22"/>
  <c r="D17" i="22"/>
  <c r="D15" i="22"/>
  <c r="D25" i="22"/>
  <c r="D26" i="22"/>
  <c r="I27" i="24"/>
  <c r="H27" i="24" s="1"/>
  <c r="C33" i="24"/>
  <c r="D20" i="22"/>
  <c r="D21" i="22"/>
  <c r="B18" i="21"/>
  <c r="I7" i="16" s="1"/>
  <c r="E41" i="25"/>
  <c r="AD41" i="24"/>
  <c r="C13" i="24"/>
  <c r="B13" i="24" s="1"/>
  <c r="H2" i="16" s="1"/>
  <c r="AG39" i="24"/>
  <c r="AF41" i="24"/>
  <c r="AG39" i="27"/>
  <c r="AF41" i="27"/>
  <c r="X39" i="18"/>
  <c r="X41" i="18" s="1"/>
  <c r="P39" i="18"/>
  <c r="H39" i="18"/>
  <c r="H41" i="18" s="1"/>
  <c r="D29" i="18"/>
  <c r="AH39" i="18"/>
  <c r="AH41" i="18" s="1"/>
  <c r="AD46" i="18" s="1"/>
  <c r="I39" i="18"/>
  <c r="D16" i="18"/>
  <c r="D22" i="18"/>
  <c r="K39" i="18"/>
  <c r="K41" i="18" s="1"/>
  <c r="E20" i="18" s="1"/>
  <c r="D26" i="18"/>
  <c r="D20" i="18"/>
  <c r="D28" i="18"/>
  <c r="D24" i="18"/>
  <c r="J27" i="18"/>
  <c r="D27" i="18" s="1"/>
  <c r="D21" i="18"/>
  <c r="D23" i="18"/>
  <c r="D14" i="18"/>
  <c r="D9" i="25"/>
  <c r="E9" i="25"/>
  <c r="F39" i="27"/>
  <c r="F41" i="27" s="1"/>
  <c r="E41" i="27"/>
  <c r="P41" i="27"/>
  <c r="T39" i="27"/>
  <c r="T41" i="27" s="1"/>
  <c r="E25" i="27" s="1"/>
  <c r="C14" i="18"/>
  <c r="C20" i="18"/>
  <c r="C34" i="18"/>
  <c r="C25" i="18"/>
  <c r="B21" i="24"/>
  <c r="H10" i="16" s="1"/>
  <c r="J27" i="22"/>
  <c r="AG41" i="24"/>
  <c r="AB41" i="18"/>
  <c r="D19" i="18"/>
  <c r="D16" i="22"/>
  <c r="D13" i="18"/>
  <c r="P41" i="22"/>
  <c r="AG41" i="27"/>
  <c r="AU38" i="18"/>
  <c r="AB39" i="18" s="1"/>
  <c r="AC39" i="18" s="1"/>
  <c r="AC41" i="18" s="1"/>
  <c r="AD39" i="18"/>
  <c r="AU38" i="24"/>
  <c r="AB39" i="24" s="1"/>
  <c r="AD39" i="24"/>
  <c r="AE39" i="24" s="1"/>
  <c r="AE41" i="24" s="1"/>
  <c r="I28" i="24"/>
  <c r="H28" i="24" s="1"/>
  <c r="C16" i="24"/>
  <c r="B16" i="24" s="1"/>
  <c r="H5" i="16" s="1"/>
  <c r="C15" i="24"/>
  <c r="B15" i="24" s="1"/>
  <c r="H4" i="16" s="1"/>
  <c r="C14" i="24"/>
  <c r="B14" i="24" s="1"/>
  <c r="H3" i="16" s="1"/>
  <c r="C28" i="24"/>
  <c r="C24" i="24"/>
  <c r="C34" i="24"/>
  <c r="B14" i="20"/>
  <c r="F3" i="16" s="1"/>
  <c r="C26" i="18"/>
  <c r="D33" i="22"/>
  <c r="D18" i="22"/>
  <c r="D13" i="22"/>
  <c r="C29" i="21"/>
  <c r="B29" i="21" s="1"/>
  <c r="I18" i="16" s="1"/>
  <c r="C28" i="21"/>
  <c r="C13" i="21"/>
  <c r="B13" i="21" s="1"/>
  <c r="I2" i="16" s="1"/>
  <c r="C22" i="21"/>
  <c r="C24" i="21"/>
  <c r="C17" i="21"/>
  <c r="B17" i="21" s="1"/>
  <c r="I6" i="16" s="1"/>
  <c r="C21" i="21"/>
  <c r="B21" i="21" s="1"/>
  <c r="I10" i="16" s="1"/>
  <c r="C34" i="21"/>
  <c r="C35" i="21" s="1"/>
  <c r="C26" i="21"/>
  <c r="C14" i="21"/>
  <c r="B14" i="21" s="1"/>
  <c r="I3" i="16" s="1"/>
  <c r="H41" i="25"/>
  <c r="Y39" i="25"/>
  <c r="Y41" i="25" s="1"/>
  <c r="O41" i="25"/>
  <c r="E22" i="25" s="1"/>
  <c r="E9" i="27"/>
  <c r="D9" i="27"/>
  <c r="C34" i="27" s="1"/>
  <c r="M41" i="27"/>
  <c r="C21" i="18"/>
  <c r="C19" i="21"/>
  <c r="B19" i="21" s="1"/>
  <c r="I8" i="16" s="1"/>
  <c r="H27" i="21"/>
  <c r="C20" i="24"/>
  <c r="B20" i="24" s="1"/>
  <c r="H9" i="16" s="1"/>
  <c r="C26" i="24"/>
  <c r="C25" i="21"/>
  <c r="C17" i="24"/>
  <c r="B17" i="24" s="1"/>
  <c r="H6" i="16" s="1"/>
  <c r="D27" i="19"/>
  <c r="D27" i="25"/>
  <c r="C16" i="18"/>
  <c r="E24" i="26"/>
  <c r="C24" i="18"/>
  <c r="W41" i="18"/>
  <c r="E25" i="20"/>
  <c r="B25" i="20" s="1"/>
  <c r="F14" i="16" s="1"/>
  <c r="D17" i="18"/>
  <c r="I28" i="21"/>
  <c r="H28" i="21" s="1"/>
  <c r="C29" i="18"/>
  <c r="D27" i="21"/>
  <c r="P41" i="24"/>
  <c r="C29" i="20"/>
  <c r="B29" i="20" s="1"/>
  <c r="F18" i="16" s="1"/>
  <c r="C13" i="20"/>
  <c r="B13" i="20" s="1"/>
  <c r="F2" i="16" s="1"/>
  <c r="C22" i="20"/>
  <c r="C28" i="18"/>
  <c r="C22" i="18"/>
  <c r="D35" i="19"/>
  <c r="AJ41" i="3"/>
  <c r="AD45" i="27"/>
  <c r="W41" i="3"/>
  <c r="U41" i="25"/>
  <c r="E25" i="25" s="1"/>
  <c r="Q39" i="17"/>
  <c r="U39" i="17" s="1"/>
  <c r="U41" i="17" s="1"/>
  <c r="M39" i="17"/>
  <c r="M41" i="17" s="1"/>
  <c r="W39" i="17"/>
  <c r="W41" i="17" s="1"/>
  <c r="X39" i="17"/>
  <c r="G39" i="17"/>
  <c r="G41" i="17" s="1"/>
  <c r="D28" i="17"/>
  <c r="I39" i="17"/>
  <c r="J39" i="17" s="1"/>
  <c r="J41" i="17" s="1"/>
  <c r="P39" i="17"/>
  <c r="D13" i="17"/>
  <c r="D16" i="17"/>
  <c r="E22" i="20"/>
  <c r="M41" i="18"/>
  <c r="E22" i="21"/>
  <c r="B22" i="21" s="1"/>
  <c r="I11" i="16" s="1"/>
  <c r="N41" i="18"/>
  <c r="X41" i="17"/>
  <c r="X41" i="27"/>
  <c r="B28" i="20"/>
  <c r="F17" i="16" s="1"/>
  <c r="H9" i="19"/>
  <c r="AF39" i="19" s="1"/>
  <c r="AF41" i="19" s="1"/>
  <c r="AP39" i="19"/>
  <c r="AP41" i="19" s="1"/>
  <c r="C9" i="19"/>
  <c r="L9" i="19"/>
  <c r="AU39" i="19" s="1"/>
  <c r="AD39" i="19" s="1"/>
  <c r="AE39" i="19" s="1"/>
  <c r="AE41" i="19" s="1"/>
  <c r="AU38" i="19"/>
  <c r="AB39" i="19" s="1"/>
  <c r="AO39" i="19"/>
  <c r="AO41" i="19" s="1"/>
  <c r="J9" i="19"/>
  <c r="I9" i="19"/>
  <c r="B9" i="26"/>
  <c r="L9" i="26"/>
  <c r="AU39" i="26" s="1"/>
  <c r="AD39" i="26" s="1"/>
  <c r="G9" i="26"/>
  <c r="AF39" i="26" s="1"/>
  <c r="AM39" i="26"/>
  <c r="AM41" i="26" s="1"/>
  <c r="AO39" i="26"/>
  <c r="AO41" i="26" s="1"/>
  <c r="H9" i="26"/>
  <c r="C9" i="26"/>
  <c r="O41" i="24"/>
  <c r="E22" i="24" s="1"/>
  <c r="B22" i="24" s="1"/>
  <c r="H11" i="16" s="1"/>
  <c r="Q41" i="18"/>
  <c r="B9" i="25"/>
  <c r="AO39" i="25"/>
  <c r="AO41" i="25" s="1"/>
  <c r="G9" i="25"/>
  <c r="AF39" i="25" s="1"/>
  <c r="AM39" i="25"/>
  <c r="AM41" i="25" s="1"/>
  <c r="AP39" i="25"/>
  <c r="AP41" i="25" s="1"/>
  <c r="L9" i="25"/>
  <c r="AU39" i="25" s="1"/>
  <c r="AD39" i="25" s="1"/>
  <c r="C9" i="25"/>
  <c r="Z39" i="17"/>
  <c r="Z41" i="17" s="1"/>
  <c r="K39" i="17"/>
  <c r="K41" i="17" s="1"/>
  <c r="E20" i="17" s="1"/>
  <c r="AA39" i="17"/>
  <c r="AA41" i="17" s="1"/>
  <c r="E9" i="19"/>
  <c r="D9" i="19"/>
  <c r="X39" i="23"/>
  <c r="X41" i="23" s="1"/>
  <c r="D29" i="23"/>
  <c r="D28" i="23"/>
  <c r="E6" i="23"/>
  <c r="B9" i="23" s="1"/>
  <c r="AO41" i="18"/>
  <c r="Z41" i="3"/>
  <c r="Z41" i="27"/>
  <c r="E41" i="3"/>
  <c r="T41" i="3"/>
  <c r="AO41" i="24"/>
  <c r="Z41" i="22"/>
  <c r="Y41" i="3"/>
  <c r="AA41" i="3"/>
  <c r="AI41" i="3"/>
  <c r="AO39" i="3"/>
  <c r="AO41" i="3" s="1"/>
  <c r="F39" i="3"/>
  <c r="F41" i="3" s="1"/>
  <c r="AH41" i="3"/>
  <c r="M41" i="3"/>
  <c r="H41" i="3"/>
  <c r="K41" i="3"/>
  <c r="E20" i="3" s="1"/>
  <c r="Q41" i="3"/>
  <c r="I9" i="3"/>
  <c r="V41" i="3"/>
  <c r="O41" i="3"/>
  <c r="AN39" i="3"/>
  <c r="AN41" i="3" s="1"/>
  <c r="L9" i="3"/>
  <c r="H9" i="3"/>
  <c r="J41" i="3"/>
  <c r="AM39" i="3"/>
  <c r="AM41" i="3" s="1"/>
  <c r="K9" i="3"/>
  <c r="G9" i="3"/>
  <c r="C9" i="3"/>
  <c r="E9" i="3"/>
  <c r="N41" i="3"/>
  <c r="D9" i="3"/>
  <c r="I41" i="3"/>
  <c r="U41" i="3"/>
  <c r="AP39" i="3"/>
  <c r="AP41" i="3" s="1"/>
  <c r="J9" i="3"/>
  <c r="F9" i="3"/>
  <c r="D35" i="3"/>
  <c r="D35" i="17"/>
  <c r="C27" i="20"/>
  <c r="B27" i="20" s="1"/>
  <c r="F16" i="16" s="1"/>
  <c r="E25" i="26"/>
  <c r="E25" i="23"/>
  <c r="AD46" i="27"/>
  <c r="AD47" i="27" s="1"/>
  <c r="E22" i="23"/>
  <c r="E22" i="3" l="1"/>
  <c r="C23" i="27"/>
  <c r="B23" i="27" s="1"/>
  <c r="L12" i="16" s="1"/>
  <c r="C28" i="27"/>
  <c r="C21" i="27"/>
  <c r="B21" i="27" s="1"/>
  <c r="L10" i="16" s="1"/>
  <c r="AG39" i="25"/>
  <c r="AG41" i="25" s="1"/>
  <c r="AF41" i="25"/>
  <c r="AD46" i="25" s="1"/>
  <c r="AU38" i="25"/>
  <c r="AB39" i="25" s="1"/>
  <c r="AC39" i="25" s="1"/>
  <c r="AC41" i="25" s="1"/>
  <c r="E28" i="25"/>
  <c r="E28" i="3"/>
  <c r="E24" i="3"/>
  <c r="E25" i="3"/>
  <c r="C19" i="3"/>
  <c r="B19" i="3" s="1"/>
  <c r="C22" i="3"/>
  <c r="B22" i="3" s="1"/>
  <c r="I28" i="3"/>
  <c r="H28" i="3" s="1"/>
  <c r="C18" i="3"/>
  <c r="B18" i="3" s="1"/>
  <c r="C21" i="3"/>
  <c r="B21" i="3" s="1"/>
  <c r="C16" i="3"/>
  <c r="B16" i="3" s="1"/>
  <c r="C20" i="3"/>
  <c r="B20" i="3" s="1"/>
  <c r="C24" i="3"/>
  <c r="C28" i="3"/>
  <c r="C29" i="3"/>
  <c r="B29" i="3" s="1"/>
  <c r="C14" i="3"/>
  <c r="B14" i="3" s="1"/>
  <c r="C15" i="3"/>
  <c r="B15" i="3" s="1"/>
  <c r="C13" i="3"/>
  <c r="B13" i="3" s="1"/>
  <c r="C23" i="3"/>
  <c r="B23" i="3" s="1"/>
  <c r="C26" i="3"/>
  <c r="I27" i="3"/>
  <c r="C17" i="3"/>
  <c r="B17" i="3" s="1"/>
  <c r="C25" i="3"/>
  <c r="J15" i="3"/>
  <c r="D35" i="22"/>
  <c r="B14" i="18"/>
  <c r="B3" i="16" s="1"/>
  <c r="E24" i="27"/>
  <c r="E22" i="19"/>
  <c r="E22" i="27"/>
  <c r="E28" i="19"/>
  <c r="AG39" i="19"/>
  <c r="AG41" i="19" s="1"/>
  <c r="AD46" i="19" s="1"/>
  <c r="AD41" i="19"/>
  <c r="AD46" i="24"/>
  <c r="B22" i="20"/>
  <c r="F11" i="16" s="1"/>
  <c r="E28" i="26"/>
  <c r="AW40" i="3"/>
  <c r="B23" i="18"/>
  <c r="B12" i="16" s="1"/>
  <c r="E28" i="27"/>
  <c r="B28" i="27" s="1"/>
  <c r="L17" i="16" s="1"/>
  <c r="C35" i="24"/>
  <c r="B28" i="24"/>
  <c r="H17" i="16" s="1"/>
  <c r="C27" i="24"/>
  <c r="B27" i="24" s="1"/>
  <c r="H16" i="16" s="1"/>
  <c r="B29" i="18"/>
  <c r="B18" i="16" s="1"/>
  <c r="B25" i="21"/>
  <c r="I14" i="16" s="1"/>
  <c r="B28" i="21"/>
  <c r="I17" i="16" s="1"/>
  <c r="E24" i="21"/>
  <c r="B24" i="21" s="1"/>
  <c r="I13" i="16" s="1"/>
  <c r="E24" i="20"/>
  <c r="B24" i="20" s="1"/>
  <c r="F13" i="16" s="1"/>
  <c r="AF41" i="26"/>
  <c r="AG39" i="26"/>
  <c r="AG41" i="26" s="1"/>
  <c r="C22" i="19"/>
  <c r="C21" i="19"/>
  <c r="B21" i="19" s="1"/>
  <c r="C10" i="16" s="1"/>
  <c r="C26" i="19"/>
  <c r="C23" i="19"/>
  <c r="B23" i="19" s="1"/>
  <c r="C12" i="16" s="1"/>
  <c r="C19" i="19"/>
  <c r="B19" i="19" s="1"/>
  <c r="C8" i="16" s="1"/>
  <c r="C24" i="19"/>
  <c r="B24" i="19" s="1"/>
  <c r="C13" i="16" s="1"/>
  <c r="C18" i="19"/>
  <c r="B18" i="19" s="1"/>
  <c r="C7" i="16" s="1"/>
  <c r="C16" i="19"/>
  <c r="B16" i="19" s="1"/>
  <c r="C5" i="16" s="1"/>
  <c r="C25" i="19"/>
  <c r="B25" i="19" s="1"/>
  <c r="C14" i="16" s="1"/>
  <c r="C33" i="19"/>
  <c r="I27" i="19"/>
  <c r="C34" i="19"/>
  <c r="C14" i="19"/>
  <c r="B14" i="19" s="1"/>
  <c r="C3" i="16" s="1"/>
  <c r="C28" i="19"/>
  <c r="B28" i="19" s="1"/>
  <c r="C17" i="16" s="1"/>
  <c r="C17" i="19"/>
  <c r="B17" i="19" s="1"/>
  <c r="C6" i="16" s="1"/>
  <c r="C15" i="19"/>
  <c r="B15" i="19" s="1"/>
  <c r="C4" i="16" s="1"/>
  <c r="C20" i="19"/>
  <c r="B20" i="19" s="1"/>
  <c r="C9" i="16" s="1"/>
  <c r="I28" i="19"/>
  <c r="H28" i="19" s="1"/>
  <c r="AE39" i="18"/>
  <c r="AE41" i="18" s="1"/>
  <c r="AD47" i="18" s="1"/>
  <c r="AD41" i="18"/>
  <c r="AD45" i="18" s="1"/>
  <c r="B20" i="18"/>
  <c r="B9" i="16" s="1"/>
  <c r="T39" i="18"/>
  <c r="T41" i="18" s="1"/>
  <c r="E25" i="18" s="1"/>
  <c r="B25" i="18" s="1"/>
  <c r="B14" i="16" s="1"/>
  <c r="P41" i="18"/>
  <c r="E22" i="18" s="1"/>
  <c r="B22" i="18" s="1"/>
  <c r="B11" i="16" s="1"/>
  <c r="C29" i="27"/>
  <c r="B29" i="27" s="1"/>
  <c r="L18" i="16" s="1"/>
  <c r="H27" i="18"/>
  <c r="T39" i="17"/>
  <c r="T41" i="17" s="1"/>
  <c r="E25" i="17" s="1"/>
  <c r="P41" i="17"/>
  <c r="E22" i="17" s="1"/>
  <c r="H39" i="17"/>
  <c r="H41" i="17" s="1"/>
  <c r="E24" i="17" s="1"/>
  <c r="I41" i="22"/>
  <c r="E24" i="22" s="1"/>
  <c r="Q41" i="17"/>
  <c r="C27" i="21"/>
  <c r="B27" i="21" s="1"/>
  <c r="I16" i="16" s="1"/>
  <c r="I41" i="17"/>
  <c r="E28" i="18"/>
  <c r="B28" i="18" s="1"/>
  <c r="B17" i="16" s="1"/>
  <c r="C17" i="27"/>
  <c r="B17" i="27" s="1"/>
  <c r="L6" i="16" s="1"/>
  <c r="B17" i="18"/>
  <c r="B6" i="16" s="1"/>
  <c r="AB41" i="25"/>
  <c r="C13" i="19"/>
  <c r="B13" i="19" s="1"/>
  <c r="C2" i="16" s="1"/>
  <c r="B19" i="18"/>
  <c r="B8" i="16" s="1"/>
  <c r="AD48" i="27"/>
  <c r="E26" i="27" s="1"/>
  <c r="C27" i="18"/>
  <c r="B27" i="18" s="1"/>
  <c r="B16" i="16" s="1"/>
  <c r="AE39" i="26"/>
  <c r="AE41" i="26" s="1"/>
  <c r="AD41" i="26"/>
  <c r="C29" i="19"/>
  <c r="B29" i="19" s="1"/>
  <c r="C18" i="16" s="1"/>
  <c r="B16" i="18"/>
  <c r="B5" i="16" s="1"/>
  <c r="C15" i="27"/>
  <c r="B15" i="27" s="1"/>
  <c r="L4" i="16" s="1"/>
  <c r="C13" i="27"/>
  <c r="B13" i="27" s="1"/>
  <c r="L2" i="16" s="1"/>
  <c r="C24" i="27"/>
  <c r="B24" i="27" s="1"/>
  <c r="L13" i="16" s="1"/>
  <c r="C16" i="27"/>
  <c r="B16" i="27" s="1"/>
  <c r="L5" i="16" s="1"/>
  <c r="C25" i="27"/>
  <c r="B25" i="27" s="1"/>
  <c r="L14" i="16" s="1"/>
  <c r="J39" i="18"/>
  <c r="J41" i="18" s="1"/>
  <c r="I41" i="18"/>
  <c r="E24" i="18" s="1"/>
  <c r="B24" i="18" s="1"/>
  <c r="B13" i="16" s="1"/>
  <c r="C33" i="27"/>
  <c r="C35" i="27" s="1"/>
  <c r="C14" i="27"/>
  <c r="B14" i="27" s="1"/>
  <c r="L3" i="16" s="1"/>
  <c r="U39" i="22"/>
  <c r="U41" i="22" s="1"/>
  <c r="E25" i="22" s="1"/>
  <c r="Q41" i="22"/>
  <c r="E22" i="22" s="1"/>
  <c r="C35" i="18"/>
  <c r="B24" i="24"/>
  <c r="H13" i="16" s="1"/>
  <c r="AE39" i="25"/>
  <c r="AE41" i="25" s="1"/>
  <c r="AD41" i="25"/>
  <c r="C29" i="26"/>
  <c r="B29" i="26" s="1"/>
  <c r="K18" i="16" s="1"/>
  <c r="C28" i="26"/>
  <c r="B28" i="26" s="1"/>
  <c r="K17" i="16" s="1"/>
  <c r="C13" i="26"/>
  <c r="B13" i="26" s="1"/>
  <c r="K2" i="16" s="1"/>
  <c r="C22" i="26"/>
  <c r="B22" i="26" s="1"/>
  <c r="K11" i="16" s="1"/>
  <c r="I28" i="26"/>
  <c r="H28" i="26" s="1"/>
  <c r="C24" i="26"/>
  <c r="B24" i="26" s="1"/>
  <c r="K13" i="16" s="1"/>
  <c r="C26" i="26"/>
  <c r="C23" i="26"/>
  <c r="B23" i="26" s="1"/>
  <c r="K12" i="16" s="1"/>
  <c r="C16" i="26"/>
  <c r="B16" i="26" s="1"/>
  <c r="K5" i="16" s="1"/>
  <c r="C15" i="26"/>
  <c r="B15" i="26" s="1"/>
  <c r="K4" i="16" s="1"/>
  <c r="C25" i="26"/>
  <c r="B25" i="26" s="1"/>
  <c r="K14" i="16" s="1"/>
  <c r="C20" i="26"/>
  <c r="B20" i="26" s="1"/>
  <c r="K9" i="16" s="1"/>
  <c r="C18" i="26"/>
  <c r="B18" i="26" s="1"/>
  <c r="K7" i="16" s="1"/>
  <c r="C17" i="26"/>
  <c r="B17" i="26" s="1"/>
  <c r="K6" i="16" s="1"/>
  <c r="C33" i="26"/>
  <c r="I27" i="26"/>
  <c r="C21" i="26"/>
  <c r="B21" i="26" s="1"/>
  <c r="K10" i="16" s="1"/>
  <c r="C14" i="26"/>
  <c r="B14" i="26" s="1"/>
  <c r="K3" i="16" s="1"/>
  <c r="C19" i="26"/>
  <c r="B19" i="26" s="1"/>
  <c r="K8" i="16" s="1"/>
  <c r="C34" i="26"/>
  <c r="AC39" i="19"/>
  <c r="AC41" i="19" s="1"/>
  <c r="AB41" i="19"/>
  <c r="F9" i="23"/>
  <c r="AF39" i="23" s="1"/>
  <c r="AF41" i="23" s="1"/>
  <c r="AO39" i="23"/>
  <c r="AO41" i="23" s="1"/>
  <c r="K9" i="23"/>
  <c r="D9" i="23"/>
  <c r="L9" i="23"/>
  <c r="G9" i="23"/>
  <c r="I9" i="23"/>
  <c r="AM39" i="23"/>
  <c r="AM41" i="23" s="1"/>
  <c r="H9" i="23"/>
  <c r="C9" i="23"/>
  <c r="E9" i="23"/>
  <c r="J9" i="23"/>
  <c r="AN39" i="23"/>
  <c r="AN41" i="23" s="1"/>
  <c r="AP39" i="23"/>
  <c r="AP41" i="23" s="1"/>
  <c r="C28" i="25"/>
  <c r="C29" i="25"/>
  <c r="B29" i="25" s="1"/>
  <c r="J18" i="16" s="1"/>
  <c r="I28" i="25"/>
  <c r="H28" i="25" s="1"/>
  <c r="C13" i="25"/>
  <c r="B13" i="25" s="1"/>
  <c r="J2" i="16" s="1"/>
  <c r="C16" i="25"/>
  <c r="B16" i="25" s="1"/>
  <c r="J5" i="16" s="1"/>
  <c r="C17" i="25"/>
  <c r="B17" i="25" s="1"/>
  <c r="J6" i="16" s="1"/>
  <c r="C21" i="25"/>
  <c r="B21" i="25" s="1"/>
  <c r="J10" i="16" s="1"/>
  <c r="I27" i="25"/>
  <c r="C24" i="25"/>
  <c r="C18" i="25"/>
  <c r="B18" i="25" s="1"/>
  <c r="J7" i="16" s="1"/>
  <c r="C34" i="25"/>
  <c r="C20" i="25"/>
  <c r="B20" i="25" s="1"/>
  <c r="J9" i="16" s="1"/>
  <c r="C23" i="25"/>
  <c r="B23" i="25" s="1"/>
  <c r="J12" i="16" s="1"/>
  <c r="C26" i="25"/>
  <c r="C14" i="25"/>
  <c r="B14" i="25" s="1"/>
  <c r="J3" i="16" s="1"/>
  <c r="C19" i="25"/>
  <c r="B19" i="25" s="1"/>
  <c r="J8" i="16" s="1"/>
  <c r="C22" i="25"/>
  <c r="B22" i="25" s="1"/>
  <c r="J11" i="16" s="1"/>
  <c r="C15" i="25"/>
  <c r="B15" i="25" s="1"/>
  <c r="J4" i="16" s="1"/>
  <c r="C25" i="25"/>
  <c r="B25" i="25" s="1"/>
  <c r="J14" i="16" s="1"/>
  <c r="C33" i="25"/>
  <c r="AU38" i="26"/>
  <c r="AB39" i="26" s="1"/>
  <c r="H9" i="17"/>
  <c r="F9" i="17"/>
  <c r="AF39" i="17" s="1"/>
  <c r="AF41" i="17" s="1"/>
  <c r="L9" i="17"/>
  <c r="AN39" i="17"/>
  <c r="AN41" i="17" s="1"/>
  <c r="J9" i="17"/>
  <c r="B9" i="17"/>
  <c r="G9" i="17"/>
  <c r="I9" i="17"/>
  <c r="AM39" i="17"/>
  <c r="AM41" i="17" s="1"/>
  <c r="D9" i="17"/>
  <c r="K9" i="17"/>
  <c r="AP39" i="17"/>
  <c r="AP41" i="17" s="1"/>
  <c r="C9" i="17"/>
  <c r="AO39" i="17"/>
  <c r="AO41" i="17" s="1"/>
  <c r="E9" i="17"/>
  <c r="I28" i="27"/>
  <c r="H28" i="27" s="1"/>
  <c r="I27" i="27"/>
  <c r="B21" i="18"/>
  <c r="B10" i="16" s="1"/>
  <c r="AC39" i="24"/>
  <c r="AC41" i="24" s="1"/>
  <c r="AB41" i="24"/>
  <c r="AD45" i="24" s="1"/>
  <c r="D27" i="22"/>
  <c r="C26" i="27"/>
  <c r="C19" i="27"/>
  <c r="B19" i="27" s="1"/>
  <c r="L8" i="16" s="1"/>
  <c r="C20" i="27"/>
  <c r="B20" i="27" s="1"/>
  <c r="L9" i="16" s="1"/>
  <c r="C18" i="27"/>
  <c r="B18" i="27" s="1"/>
  <c r="L7" i="16" s="1"/>
  <c r="C22" i="27"/>
  <c r="E24" i="25"/>
  <c r="B9" i="22"/>
  <c r="AM39" i="22"/>
  <c r="AM41" i="22" s="1"/>
  <c r="C9" i="22"/>
  <c r="D9" i="22"/>
  <c r="L9" i="22"/>
  <c r="AN39" i="22"/>
  <c r="AN41" i="22" s="1"/>
  <c r="H9" i="22"/>
  <c r="F9" i="22"/>
  <c r="I9" i="22"/>
  <c r="AP39" i="22"/>
  <c r="AP41" i="22" s="1"/>
  <c r="J9" i="22"/>
  <c r="E9" i="22"/>
  <c r="K9" i="22"/>
  <c r="G9" i="22"/>
  <c r="AO39" i="22"/>
  <c r="AO41" i="22" s="1"/>
  <c r="B13" i="18"/>
  <c r="B2" i="16" s="1"/>
  <c r="AF39" i="3"/>
  <c r="AG39" i="3" s="1"/>
  <c r="AG41" i="3" s="1"/>
  <c r="C33" i="3"/>
  <c r="C34" i="3"/>
  <c r="B28" i="25" l="1"/>
  <c r="J17" i="16" s="1"/>
  <c r="AD47" i="25"/>
  <c r="AD47" i="24"/>
  <c r="B22" i="27"/>
  <c r="L11" i="16" s="1"/>
  <c r="B25" i="3"/>
  <c r="B24" i="3"/>
  <c r="J16" i="3"/>
  <c r="J17" i="3" s="1"/>
  <c r="J18" i="3" s="1"/>
  <c r="AG39" i="21"/>
  <c r="AG41" i="21" s="1"/>
  <c r="AF41" i="21"/>
  <c r="AG39" i="20"/>
  <c r="AG41" i="20" s="1"/>
  <c r="AF41" i="20"/>
  <c r="E28" i="22"/>
  <c r="AU39" i="22"/>
  <c r="AD39" i="22" s="1"/>
  <c r="AF39" i="22"/>
  <c r="AF41" i="22" s="1"/>
  <c r="AG39" i="22"/>
  <c r="AG41" i="22" s="1"/>
  <c r="E28" i="17"/>
  <c r="AU39" i="17"/>
  <c r="AD39" i="17" s="1"/>
  <c r="AG39" i="17"/>
  <c r="AG41" i="17" s="1"/>
  <c r="AD46" i="17" s="1"/>
  <c r="B28" i="3"/>
  <c r="H27" i="3"/>
  <c r="C27" i="3"/>
  <c r="B27" i="3" s="1"/>
  <c r="B22" i="19"/>
  <c r="C11" i="16" s="1"/>
  <c r="AD45" i="19"/>
  <c r="AD47" i="19"/>
  <c r="AD48" i="19" s="1"/>
  <c r="E26" i="19" s="1"/>
  <c r="B26" i="19" s="1"/>
  <c r="C15" i="16" s="1"/>
  <c r="C20" i="16" s="1"/>
  <c r="E28" i="23"/>
  <c r="AG39" i="23"/>
  <c r="AG41" i="23" s="1"/>
  <c r="AD46" i="23" s="1"/>
  <c r="AD48" i="24"/>
  <c r="E26" i="24" s="1"/>
  <c r="B26" i="24" s="1"/>
  <c r="H15" i="16" s="1"/>
  <c r="H20" i="16" s="1"/>
  <c r="B24" i="25"/>
  <c r="J13" i="16" s="1"/>
  <c r="AD45" i="25"/>
  <c r="AD48" i="25" s="1"/>
  <c r="E26" i="25" s="1"/>
  <c r="B26" i="25" s="1"/>
  <c r="J15" i="16" s="1"/>
  <c r="C35" i="25"/>
  <c r="AE39" i="17"/>
  <c r="AE41" i="17" s="1"/>
  <c r="AD41" i="17"/>
  <c r="C29" i="17"/>
  <c r="B29" i="17" s="1"/>
  <c r="D18" i="16" s="1"/>
  <c r="C28" i="17"/>
  <c r="C13" i="17"/>
  <c r="B13" i="17" s="1"/>
  <c r="D2" i="16" s="1"/>
  <c r="I28" i="17"/>
  <c r="H28" i="17" s="1"/>
  <c r="C16" i="17"/>
  <c r="B16" i="17" s="1"/>
  <c r="D5" i="16" s="1"/>
  <c r="C15" i="17"/>
  <c r="B15" i="17" s="1"/>
  <c r="D4" i="16" s="1"/>
  <c r="C25" i="17"/>
  <c r="B25" i="17" s="1"/>
  <c r="D14" i="16" s="1"/>
  <c r="C33" i="17"/>
  <c r="C20" i="17"/>
  <c r="B20" i="17" s="1"/>
  <c r="D9" i="16" s="1"/>
  <c r="C19" i="17"/>
  <c r="B19" i="17" s="1"/>
  <c r="D8" i="16" s="1"/>
  <c r="C18" i="17"/>
  <c r="B18" i="17" s="1"/>
  <c r="D7" i="16" s="1"/>
  <c r="C21" i="17"/>
  <c r="B21" i="17" s="1"/>
  <c r="D10" i="16" s="1"/>
  <c r="I27" i="17"/>
  <c r="C22" i="17"/>
  <c r="B22" i="17" s="1"/>
  <c r="D11" i="16" s="1"/>
  <c r="C17" i="17"/>
  <c r="B17" i="17" s="1"/>
  <c r="D6" i="16" s="1"/>
  <c r="C23" i="17"/>
  <c r="B23" i="17" s="1"/>
  <c r="D12" i="16" s="1"/>
  <c r="C24" i="17"/>
  <c r="B24" i="17" s="1"/>
  <c r="D13" i="16" s="1"/>
  <c r="C34" i="17"/>
  <c r="C26" i="17"/>
  <c r="C14" i="17"/>
  <c r="B14" i="17" s="1"/>
  <c r="D3" i="16" s="1"/>
  <c r="AB41" i="26"/>
  <c r="AD45" i="26" s="1"/>
  <c r="AC39" i="26"/>
  <c r="AC41" i="26" s="1"/>
  <c r="AU39" i="23"/>
  <c r="AD46" i="26"/>
  <c r="H27" i="25"/>
  <c r="C27" i="25"/>
  <c r="B27" i="25" s="1"/>
  <c r="J16" i="16" s="1"/>
  <c r="C29" i="23"/>
  <c r="B29" i="23" s="1"/>
  <c r="G18" i="16" s="1"/>
  <c r="C13" i="23"/>
  <c r="C22" i="23"/>
  <c r="B22" i="23" s="1"/>
  <c r="G11" i="16" s="1"/>
  <c r="I28" i="23"/>
  <c r="H28" i="23" s="1"/>
  <c r="C28" i="23"/>
  <c r="B28" i="23" s="1"/>
  <c r="G17" i="16" s="1"/>
  <c r="C24" i="23"/>
  <c r="B24" i="23" s="1"/>
  <c r="G13" i="16" s="1"/>
  <c r="C33" i="23"/>
  <c r="C34" i="23"/>
  <c r="C14" i="23"/>
  <c r="B14" i="23" s="1"/>
  <c r="G3" i="16" s="1"/>
  <c r="I27" i="23"/>
  <c r="C19" i="23"/>
  <c r="B19" i="23" s="1"/>
  <c r="G8" i="16" s="1"/>
  <c r="C26" i="23"/>
  <c r="C20" i="23"/>
  <c r="B20" i="23" s="1"/>
  <c r="G9" i="16" s="1"/>
  <c r="C23" i="23"/>
  <c r="B23" i="23" s="1"/>
  <c r="G12" i="16" s="1"/>
  <c r="C15" i="23"/>
  <c r="B15" i="23" s="1"/>
  <c r="G4" i="16" s="1"/>
  <c r="C21" i="23"/>
  <c r="B21" i="23" s="1"/>
  <c r="G10" i="16" s="1"/>
  <c r="C16" i="23"/>
  <c r="B16" i="23" s="1"/>
  <c r="G5" i="16" s="1"/>
  <c r="C18" i="23"/>
  <c r="B18" i="23" s="1"/>
  <c r="G7" i="16" s="1"/>
  <c r="C25" i="23"/>
  <c r="B25" i="23" s="1"/>
  <c r="G14" i="16" s="1"/>
  <c r="C17" i="23"/>
  <c r="B17" i="23" s="1"/>
  <c r="G6" i="16" s="1"/>
  <c r="C27" i="26"/>
  <c r="B27" i="26" s="1"/>
  <c r="K16" i="16" s="1"/>
  <c r="H27" i="26"/>
  <c r="AD48" i="18"/>
  <c r="E26" i="18" s="1"/>
  <c r="B26" i="18" s="1"/>
  <c r="B15" i="16" s="1"/>
  <c r="B20" i="16" s="1"/>
  <c r="C35" i="19"/>
  <c r="H27" i="27"/>
  <c r="C27" i="27"/>
  <c r="B27" i="27" s="1"/>
  <c r="L16" i="16" s="1"/>
  <c r="AU38" i="17"/>
  <c r="AB39" i="17" s="1"/>
  <c r="AE39" i="22"/>
  <c r="AE41" i="22" s="1"/>
  <c r="AD41" i="22"/>
  <c r="C28" i="22"/>
  <c r="C29" i="22"/>
  <c r="B29" i="22" s="1"/>
  <c r="E18" i="16" s="1"/>
  <c r="I28" i="22"/>
  <c r="H28" i="22" s="1"/>
  <c r="C13" i="22"/>
  <c r="B13" i="22" s="1"/>
  <c r="E2" i="16" s="1"/>
  <c r="C33" i="22"/>
  <c r="C25" i="22"/>
  <c r="B25" i="22" s="1"/>
  <c r="E14" i="16" s="1"/>
  <c r="C26" i="22"/>
  <c r="C20" i="22"/>
  <c r="B20" i="22" s="1"/>
  <c r="E9" i="16" s="1"/>
  <c r="C14" i="22"/>
  <c r="B14" i="22" s="1"/>
  <c r="E3" i="16" s="1"/>
  <c r="C19" i="22"/>
  <c r="B19" i="22" s="1"/>
  <c r="E8" i="16" s="1"/>
  <c r="C22" i="22"/>
  <c r="B22" i="22" s="1"/>
  <c r="E11" i="16" s="1"/>
  <c r="C16" i="22"/>
  <c r="B16" i="22" s="1"/>
  <c r="E5" i="16" s="1"/>
  <c r="C15" i="22"/>
  <c r="B15" i="22" s="1"/>
  <c r="E4" i="16" s="1"/>
  <c r="C34" i="22"/>
  <c r="C21" i="22"/>
  <c r="B21" i="22" s="1"/>
  <c r="E10" i="16" s="1"/>
  <c r="I27" i="22"/>
  <c r="C17" i="22"/>
  <c r="B17" i="22" s="1"/>
  <c r="E6" i="16" s="1"/>
  <c r="C23" i="22"/>
  <c r="B23" i="22" s="1"/>
  <c r="E12" i="16" s="1"/>
  <c r="C24" i="22"/>
  <c r="B24" i="22" s="1"/>
  <c r="E13" i="16" s="1"/>
  <c r="C18" i="22"/>
  <c r="B18" i="22" s="1"/>
  <c r="E7" i="16" s="1"/>
  <c r="H27" i="19"/>
  <c r="C27" i="19"/>
  <c r="B27" i="19" s="1"/>
  <c r="C16" i="16" s="1"/>
  <c r="AU38" i="22"/>
  <c r="AB39" i="22" s="1"/>
  <c r="C35" i="26"/>
  <c r="B26" i="27"/>
  <c r="L15" i="16" s="1"/>
  <c r="AF41" i="3"/>
  <c r="AD46" i="3" s="1"/>
  <c r="C35" i="3"/>
  <c r="AD39" i="3"/>
  <c r="AW39" i="3"/>
  <c r="AB39" i="3" s="1"/>
  <c r="B28" i="17" l="1"/>
  <c r="D17" i="16" s="1"/>
  <c r="L20" i="16"/>
  <c r="AD46" i="21"/>
  <c r="AD47" i="21" s="1"/>
  <c r="AD48" i="21" s="1"/>
  <c r="E26" i="21" s="1"/>
  <c r="B26" i="21" s="1"/>
  <c r="I15" i="16" s="1"/>
  <c r="I20" i="16" s="1"/>
  <c r="J19" i="3"/>
  <c r="B19" i="30" s="1"/>
  <c r="AD46" i="20"/>
  <c r="AD47" i="20" s="1"/>
  <c r="AD48" i="20" s="1"/>
  <c r="E26" i="20" s="1"/>
  <c r="B26" i="20" s="1"/>
  <c r="F15" i="16" s="1"/>
  <c r="F20" i="16" s="1"/>
  <c r="B21" i="16"/>
  <c r="B23" i="16" s="1"/>
  <c r="B19" i="16"/>
  <c r="B24" i="16" s="1"/>
  <c r="L21" i="16"/>
  <c r="L23" i="16" s="1"/>
  <c r="L19" i="16"/>
  <c r="L22" i="16" s="1"/>
  <c r="J20" i="16"/>
  <c r="J21" i="16" s="1"/>
  <c r="J23" i="16" s="1"/>
  <c r="H21" i="16"/>
  <c r="H23" i="16" s="1"/>
  <c r="H19" i="16"/>
  <c r="H24" i="16" s="1"/>
  <c r="B28" i="22"/>
  <c r="E17" i="16" s="1"/>
  <c r="AD46" i="22"/>
  <c r="C21" i="16"/>
  <c r="C23" i="16" s="1"/>
  <c r="C19" i="16"/>
  <c r="C22" i="16" s="1"/>
  <c r="B13" i="23"/>
  <c r="G2" i="16" s="1"/>
  <c r="C35" i="23"/>
  <c r="C35" i="22"/>
  <c r="AC39" i="17"/>
  <c r="AC41" i="17" s="1"/>
  <c r="AD47" i="17" s="1"/>
  <c r="AB41" i="17"/>
  <c r="AD45" i="17" s="1"/>
  <c r="C27" i="22"/>
  <c r="B27" i="22" s="1"/>
  <c r="E16" i="16" s="1"/>
  <c r="H27" i="22"/>
  <c r="C27" i="23"/>
  <c r="B27" i="23" s="1"/>
  <c r="G16" i="16" s="1"/>
  <c r="H27" i="23"/>
  <c r="H27" i="17"/>
  <c r="C27" i="17"/>
  <c r="B27" i="17" s="1"/>
  <c r="D16" i="16" s="1"/>
  <c r="AC39" i="22"/>
  <c r="AC41" i="22" s="1"/>
  <c r="AD47" i="22" s="1"/>
  <c r="AB41" i="22"/>
  <c r="AD45" i="22" s="1"/>
  <c r="AD47" i="26"/>
  <c r="AD48" i="26" s="1"/>
  <c r="E26" i="26" s="1"/>
  <c r="B26" i="26" s="1"/>
  <c r="K15" i="16" s="1"/>
  <c r="K20" i="16" s="1"/>
  <c r="C35" i="17"/>
  <c r="H22" i="16"/>
  <c r="B22" i="16"/>
  <c r="AD39" i="23"/>
  <c r="AU38" i="23"/>
  <c r="AB39" i="23" s="1"/>
  <c r="AC39" i="3"/>
  <c r="AC41" i="3" s="1"/>
  <c r="AB41" i="3"/>
  <c r="AE39" i="3"/>
  <c r="AE41" i="3" s="1"/>
  <c r="AD41" i="3"/>
  <c r="L24" i="16" l="1"/>
  <c r="B15" i="30"/>
  <c r="B20" i="30"/>
  <c r="B14" i="30"/>
  <c r="B13" i="30"/>
  <c r="B16" i="30"/>
  <c r="B10" i="30"/>
  <c r="B9" i="30"/>
  <c r="B11" i="30"/>
  <c r="B12" i="30"/>
  <c r="B21" i="30"/>
  <c r="B23" i="30"/>
  <c r="B24" i="30"/>
  <c r="B18" i="30"/>
  <c r="B25" i="30"/>
  <c r="B17" i="30"/>
  <c r="I21" i="16"/>
  <c r="I23" i="16" s="1"/>
  <c r="I19" i="16"/>
  <c r="F19" i="16"/>
  <c r="F21" i="16"/>
  <c r="F23" i="16" s="1"/>
  <c r="K19" i="16"/>
  <c r="K21" i="16"/>
  <c r="K23" i="16" s="1"/>
  <c r="J19" i="16"/>
  <c r="AD48" i="17"/>
  <c r="E26" i="17" s="1"/>
  <c r="B26" i="17" s="1"/>
  <c r="D15" i="16" s="1"/>
  <c r="D20" i="16" s="1"/>
  <c r="C24" i="16"/>
  <c r="AD48" i="22"/>
  <c r="E26" i="22" s="1"/>
  <c r="B26" i="22" s="1"/>
  <c r="E15" i="16" s="1"/>
  <c r="E20" i="16" s="1"/>
  <c r="J24" i="16"/>
  <c r="J22" i="16"/>
  <c r="AC39" i="23"/>
  <c r="AC41" i="23" s="1"/>
  <c r="AB41" i="23"/>
  <c r="AE39" i="23"/>
  <c r="AE41" i="23" s="1"/>
  <c r="AD41" i="23"/>
  <c r="AD47" i="3"/>
  <c r="AD45" i="3"/>
  <c r="F22" i="16" l="1"/>
  <c r="F24" i="16"/>
  <c r="I24" i="16"/>
  <c r="I22" i="16"/>
  <c r="K22" i="16"/>
  <c r="K24" i="16"/>
  <c r="E19" i="16"/>
  <c r="E21" i="16"/>
  <c r="E23" i="16" s="1"/>
  <c r="D21" i="16"/>
  <c r="D23" i="16" s="1"/>
  <c r="D19" i="16"/>
  <c r="AD47" i="23"/>
  <c r="AD45" i="23"/>
  <c r="AD48" i="3"/>
  <c r="E24" i="16" l="1"/>
  <c r="E22" i="16"/>
  <c r="D24" i="16"/>
  <c r="D22" i="16"/>
  <c r="E26" i="3"/>
  <c r="B26" i="3" s="1"/>
  <c r="B22" i="30" s="1"/>
  <c r="D9" i="30" s="1"/>
  <c r="D11" i="30" s="1"/>
  <c r="D12" i="30" s="1"/>
  <c r="D16" i="30" s="1"/>
  <c r="AD48" i="23"/>
  <c r="E26" i="23" s="1"/>
  <c r="B26" i="23" s="1"/>
  <c r="G15" i="16" s="1"/>
  <c r="G20" i="16" s="1"/>
  <c r="D15" i="30" l="1"/>
  <c r="G21" i="16"/>
  <c r="G23" i="16" s="1"/>
  <c r="G19" i="16"/>
  <c r="G22" i="16" l="1"/>
  <c r="G24" i="16"/>
</calcChain>
</file>

<file path=xl/sharedStrings.xml><?xml version="1.0" encoding="utf-8"?>
<sst xmlns="http://schemas.openxmlformats.org/spreadsheetml/2006/main" count="2350" uniqueCount="253">
  <si>
    <t>C1</t>
  </si>
  <si>
    <t>C2</t>
  </si>
  <si>
    <t>C3</t>
  </si>
  <si>
    <t>C4</t>
  </si>
  <si>
    <t>Baseline family components</t>
  </si>
  <si>
    <t>Child age additions</t>
  </si>
  <si>
    <t>Household addiitons</t>
  </si>
  <si>
    <t>HH goods</t>
  </si>
  <si>
    <t>Personal goods/services</t>
  </si>
  <si>
    <t>Social/cultural participation</t>
  </si>
  <si>
    <t>Motoring</t>
  </si>
  <si>
    <t>Mileage</t>
  </si>
  <si>
    <t>Holiday</t>
  </si>
  <si>
    <t>single</t>
  </si>
  <si>
    <t>couple</t>
  </si>
  <si>
    <t>pensioner single</t>
  </si>
  <si>
    <t>pensioner couple</t>
  </si>
  <si>
    <t>lp+1</t>
  </si>
  <si>
    <t>lp+2</t>
  </si>
  <si>
    <t>lp+3</t>
  </si>
  <si>
    <t>cpl+1</t>
  </si>
  <si>
    <t>cpl+2</t>
  </si>
  <si>
    <t>cpl+3</t>
  </si>
  <si>
    <t>cpl+4</t>
  </si>
  <si>
    <t>0-1</t>
  </si>
  <si>
    <t>2-5</t>
  </si>
  <si>
    <t>primary</t>
  </si>
  <si>
    <t>secondary</t>
  </si>
  <si>
    <t>Childcare first primary if youngest</t>
  </si>
  <si>
    <t>Childare additional primary</t>
  </si>
  <si>
    <t>Childcare first toddler</t>
  </si>
  <si>
    <t>Childcare additional toddlers</t>
  </si>
  <si>
    <t>Childcare first pre if youngest</t>
  </si>
  <si>
    <t xml:space="preserve">Childcare additional pre </t>
  </si>
  <si>
    <t>Fuel (If any AR3 or AR4 and no AR1 or AR2)</t>
  </si>
  <si>
    <t>Laundry</t>
  </si>
  <si>
    <t>HHA</t>
  </si>
  <si>
    <t>HHB</t>
  </si>
  <si>
    <t>HHC</t>
  </si>
  <si>
    <t>HHAB</t>
  </si>
  <si>
    <t>HHABC</t>
  </si>
  <si>
    <t>HHBCD (REDUNDANT)</t>
  </si>
  <si>
    <t>HHA (REDUNDANT)</t>
  </si>
  <si>
    <r>
      <t xml:space="preserve">HHBC </t>
    </r>
    <r>
      <rPr>
        <b/>
        <i/>
        <sz val="10"/>
        <color theme="1"/>
        <rFont val="Arial"/>
        <family val="2"/>
      </rPr>
      <t>(CHANGED FROM HHBCD)</t>
    </r>
  </si>
  <si>
    <t>HH
Pushchair</t>
  </si>
  <si>
    <r>
      <t xml:space="preserve">HHABD </t>
    </r>
    <r>
      <rPr>
        <b/>
        <i/>
        <sz val="10"/>
        <color theme="1"/>
        <rFont val="Arial"/>
        <family val="2"/>
      </rPr>
      <t>(CHANGED FROM HHABC)</t>
    </r>
  </si>
  <si>
    <r>
      <t xml:space="preserve">HHC </t>
    </r>
    <r>
      <rPr>
        <b/>
        <i/>
        <sz val="10"/>
        <color theme="1"/>
        <rFont val="Arial"/>
        <family val="2"/>
      </rPr>
      <t>(CHANGED FROM HHB)</t>
    </r>
  </si>
  <si>
    <r>
      <t xml:space="preserve">HHD </t>
    </r>
    <r>
      <rPr>
        <b/>
        <i/>
        <sz val="10"/>
        <color theme="1"/>
        <rFont val="Arial"/>
        <family val="2"/>
      </rPr>
      <t>(CHANGED FROM HHC)</t>
    </r>
  </si>
  <si>
    <t>HH
Netbook</t>
  </si>
  <si>
    <t>Focus fixed cost</t>
  </si>
  <si>
    <t>Focus additional cost per mile</t>
  </si>
  <si>
    <t>Zafira fixed cost</t>
  </si>
  <si>
    <t>Zafira addiional cost per mile</t>
  </si>
  <si>
    <t>LP</t>
  </si>
  <si>
    <t>CP</t>
  </si>
  <si>
    <t>AR1</t>
  </si>
  <si>
    <t>AR2</t>
  </si>
  <si>
    <t>AR3</t>
  </si>
  <si>
    <t>AR4</t>
  </si>
  <si>
    <t>AR2/3/4</t>
  </si>
  <si>
    <t>1/2 children, at least one AR3 or AR4</t>
  </si>
  <si>
    <t>1/2 children, at least none in AR3 or AR4</t>
  </si>
  <si>
    <t>3/4 children, one in AR3 or AR4</t>
  </si>
  <si>
    <t>3/4 children, none in AR3 or AR4</t>
  </si>
  <si>
    <t>CATEGORY</t>
  </si>
  <si>
    <t>Food</t>
  </si>
  <si>
    <t>Alcohol</t>
  </si>
  <si>
    <t>Tobacco</t>
  </si>
  <si>
    <t>Clothing</t>
  </si>
  <si>
    <t>Water rates</t>
  </si>
  <si>
    <t>Council tax</t>
  </si>
  <si>
    <t>Household insurances</t>
  </si>
  <si>
    <t>Fuel</t>
  </si>
  <si>
    <t>Other housing costs</t>
  </si>
  <si>
    <t>Household goods</t>
  </si>
  <si>
    <t>Household services</t>
  </si>
  <si>
    <t>Childcare</t>
  </si>
  <si>
    <t>Personal goods and services</t>
  </si>
  <si>
    <t>Other travel costs</t>
  </si>
  <si>
    <t>Social and cultural participation</t>
  </si>
  <si>
    <t>Rent</t>
  </si>
  <si>
    <t>HEADLINE TOTAL (EXCL RENT, CHILDCARE)</t>
  </si>
  <si>
    <t>TOTAL ALL</t>
  </si>
  <si>
    <t>ALL, NO CHILDCARE</t>
  </si>
  <si>
    <t>AHC (NO CHILDCARE, RENT, COUNCIL TAX OR WATER)</t>
  </si>
  <si>
    <t>BHC (NO CHILDCARE, COUNCIL TAX)</t>
  </si>
  <si>
    <t>BENEFITS COMPARISON (NO RENT, CHILDCARE, COUNCIL TAX)</t>
  </si>
  <si>
    <t>Category</t>
  </si>
  <si>
    <t>WA</t>
  </si>
  <si>
    <t>Pens</t>
  </si>
  <si>
    <t>Children</t>
  </si>
  <si>
    <t>C5</t>
  </si>
  <si>
    <t>C6</t>
  </si>
  <si>
    <t>C7</t>
  </si>
  <si>
    <t>C8</t>
  </si>
  <si>
    <t>C9</t>
  </si>
  <si>
    <t>C10</t>
  </si>
  <si>
    <t>C11</t>
  </si>
  <si>
    <t>Household dependent</t>
  </si>
  <si>
    <t>HHBC (CHANGED FROM HHBCD)</t>
  </si>
  <si>
    <t>HHABD (CHANGED FROM HHABC)</t>
  </si>
  <si>
    <t>HHC (CHANGED FROM HHB)</t>
  </si>
  <si>
    <t>HHD (CHANGED FROM HHC)</t>
  </si>
  <si>
    <t>CH 3</t>
  </si>
  <si>
    <t>CH4</t>
  </si>
  <si>
    <t>CH9</t>
  </si>
  <si>
    <t>CH10</t>
  </si>
  <si>
    <t>CH11</t>
  </si>
  <si>
    <t>CH12</t>
  </si>
  <si>
    <t>CH8</t>
  </si>
  <si>
    <t>?</t>
  </si>
  <si>
    <t>CH13</t>
  </si>
  <si>
    <t>CH14</t>
  </si>
  <si>
    <t>CH15</t>
  </si>
  <si>
    <t>CH16</t>
  </si>
  <si>
    <t>CH17</t>
  </si>
  <si>
    <t>CH18</t>
  </si>
  <si>
    <t>CH19</t>
  </si>
  <si>
    <t>CH20</t>
  </si>
  <si>
    <t>CH21</t>
  </si>
  <si>
    <t>CH22</t>
  </si>
  <si>
    <t>CH39</t>
  </si>
  <si>
    <t>CH23</t>
  </si>
  <si>
    <t>CH24</t>
  </si>
  <si>
    <t>CH25</t>
  </si>
  <si>
    <t>CH26</t>
  </si>
  <si>
    <t>CH28</t>
  </si>
  <si>
    <t>CH29</t>
  </si>
  <si>
    <t>CH30</t>
  </si>
  <si>
    <t>CH31</t>
  </si>
  <si>
    <t>CH32</t>
  </si>
  <si>
    <t>CH33</t>
  </si>
  <si>
    <t>CH34</t>
  </si>
  <si>
    <t>CH35</t>
  </si>
  <si>
    <t>CH36</t>
  </si>
  <si>
    <t>CH37</t>
  </si>
  <si>
    <t>CH38</t>
  </si>
  <si>
    <t>CH40</t>
  </si>
  <si>
    <t>CH41</t>
  </si>
  <si>
    <t>CH42</t>
  </si>
  <si>
    <t>CH43</t>
  </si>
  <si>
    <t>Composition</t>
  </si>
  <si>
    <t xml:space="preserve">Focus </t>
  </si>
  <si>
    <t>Zafira</t>
  </si>
  <si>
    <t>Car type</t>
  </si>
  <si>
    <t>AR2/3/4 (red)</t>
  </si>
  <si>
    <t>Total</t>
  </si>
  <si>
    <t>Base</t>
  </si>
  <si>
    <t>Child by age</t>
  </si>
  <si>
    <t>bus/coach</t>
  </si>
  <si>
    <t>Other</t>
  </si>
  <si>
    <t xml:space="preserve">All </t>
  </si>
  <si>
    <t>Household dependent variable</t>
  </si>
  <si>
    <t>Value</t>
  </si>
  <si>
    <t>Pers.G+S</t>
  </si>
  <si>
    <t>Leisure</t>
  </si>
  <si>
    <t>Motoring calculation:</t>
  </si>
  <si>
    <t>Fixed cost</t>
  </si>
  <si>
    <t>Variable cost</t>
  </si>
  <si>
    <t>Value applied</t>
  </si>
  <si>
    <t>Application</t>
  </si>
  <si>
    <t>s pens</t>
  </si>
  <si>
    <t>c pens</t>
  </si>
  <si>
    <t>c+1</t>
  </si>
  <si>
    <t>c+2</t>
  </si>
  <si>
    <t>c+3</t>
  </si>
  <si>
    <t>c+4</t>
  </si>
  <si>
    <t>Single</t>
  </si>
  <si>
    <t>Couple</t>
  </si>
  <si>
    <t>bus and coach</t>
  </si>
  <si>
    <t>Other travel</t>
  </si>
  <si>
    <t>Invalid cases:</t>
  </si>
  <si>
    <t>Pensioner and kids</t>
  </si>
  <si>
    <t>Couple and &gt;4</t>
  </si>
  <si>
    <t>LP and &gt;3</t>
  </si>
  <si>
    <t>Pensioner and non-pensioner</t>
  </si>
  <si>
    <t>More than 2 adults</t>
  </si>
  <si>
    <t>Report</t>
  </si>
  <si>
    <t>Code</t>
  </si>
  <si>
    <t>For any comparison with this series, MIS budgets need to exclude certain components</t>
  </si>
  <si>
    <t>The Government's Households Below Average Income data show the distribution of household income, before and after housing costs.</t>
  </si>
  <si>
    <t>Rent and water are excluded for the "after housing cost" caculation, which compares disposable incomes once these items have been paid for</t>
  </si>
  <si>
    <t xml:space="preserve">Childcare has also been deducted from MIS budgets in the HBAI comparisons in this calculator.  </t>
  </si>
  <si>
    <t>This is because MIS childcare costs show the case where full-time childcare is paid for, which in practice applies to only a small minority of families.</t>
  </si>
  <si>
    <t>Council tax is excluded , since HBAI figures are net of tax</t>
  </si>
  <si>
    <t>It is not therefore helpful to include childcare costs in budgets used to compare requirements with incomes achieved among the population as a whole</t>
  </si>
  <si>
    <t xml:space="preserve">Even though childcare costs are not deducted from the median income used in HBAI,  only a tiny minority of theoverall  population incurs childcare costs, so a "net of childcare" population median would be very similar to the actual median </t>
  </si>
  <si>
    <t xml:space="preserve">In using the results, it can be helpful to look at disposable income that excludes certain elements where minimum costs can vary for different households, in ways that do not necessarily reflect living standards. </t>
  </si>
  <si>
    <t>For example, a household in a hard to heat home may face higher domestic fuel bills.</t>
  </si>
  <si>
    <t>It is possible to enter different values for those categories, overriding those in the calculator.</t>
  </si>
  <si>
    <t>HOWEVER, NOTE THAT IF BUDGET VALUES ARE CHANGED THE RESULTS DO NOT NECESSARILY REPRESENT THE MINIMUM INCOME STANDARD AS CALCULATED IN THE RESEARCH</t>
  </si>
  <si>
    <t>For example, if the fuel total is varied to reflect actual fuel expenditure, this may show either that the household has unavoidably high fuel costs, or that they use more fuel than is necessary.</t>
  </si>
  <si>
    <t>The totals given in this calculator present budgets both including and excluding these elements,  allowing comparisons to be made with actual disposable incomes after subtracting such costs.</t>
  </si>
  <si>
    <t>The calculator works for singles or couples, of either working age or pension age (but not combined), plus up to four children for a working age couple and up to three for a working age single (ie lone parent). It does not work for households including adults additional to a single or couple</t>
  </si>
  <si>
    <t>For example, the cost of renting the same accommodation can vary by location and by whether it is from a social or private landlord. Childcare costs vary by location and by family circumstances that determine how much paid childcare is required. Council tax also varies by location.</t>
  </si>
  <si>
    <t>In such cases, users need to make their own judgements about whether an additional cost is unavoidable, always bearing in mind that a household's actual expenses are not the same thing as the socially defined minimum requirements identified by the MIS research</t>
  </si>
  <si>
    <t>Budget totals used in this calculator show what a household with a given composition needs to spend for a minimum living standard according to the MIS research</t>
  </si>
  <si>
    <t>MINIMUM INCOME STANDARD BUDGET CALCULATOR</t>
  </si>
  <si>
    <t>Notes for users</t>
  </si>
  <si>
    <t>Go to calculator</t>
  </si>
  <si>
    <t>Additional variations</t>
  </si>
  <si>
    <t>Excluding variable costs</t>
  </si>
  <si>
    <t>In addition, individual households may face some other costs that are significantly different from those shown here in ways that do not reflect different living standards.</t>
  </si>
  <si>
    <t>For usage, see notes</t>
  </si>
  <si>
    <t>ENTER HOUSEHOLD DETAILS IN BOXES</t>
  </si>
  <si>
    <t>a) Enter number of adults</t>
  </si>
  <si>
    <r>
      <rPr>
        <b/>
        <sz val="11"/>
        <color theme="1"/>
        <rFont val="Calibri"/>
        <family val="2"/>
        <scheme val="minor"/>
      </rPr>
      <t>b) Enter number of children, if any</t>
    </r>
    <r>
      <rPr>
        <sz val="11"/>
        <color theme="1"/>
        <rFont val="Calibri"/>
        <family val="2"/>
        <scheme val="minor"/>
      </rPr>
      <t xml:space="preserve"> (maximum 3 for lone parent, 4 for couple; not valid for pensioners). </t>
    </r>
  </si>
  <si>
    <t>EITHER Working age adult/s: 1 for single, 2 for couple</t>
  </si>
  <si>
    <t>Age 0-1</t>
  </si>
  <si>
    <t>OR Pensioner/s: 1 for single, 2 for couple</t>
  </si>
  <si>
    <t>Age 2-4</t>
  </si>
  <si>
    <t>Primary school</t>
  </si>
  <si>
    <t>Secondary school</t>
  </si>
  <si>
    <t>BUDGET TOTALS</t>
  </si>
  <si>
    <t>All items</t>
  </si>
  <si>
    <t>Disposable income required:</t>
  </si>
  <si>
    <t>Net of rent and childcare</t>
  </si>
  <si>
    <t>Net of rent, childcare and council tax</t>
  </si>
  <si>
    <t xml:space="preserve">Budget totals comparable to incomes shown in the Households Below Average Income Series </t>
  </si>
  <si>
    <t>Before housing costs</t>
  </si>
  <si>
    <t>See note</t>
  </si>
  <si>
    <t>After housing costs</t>
  </si>
  <si>
    <t>Components compressed into MIS categories</t>
  </si>
  <si>
    <t>BC1</t>
  </si>
  <si>
    <t>BC2</t>
  </si>
  <si>
    <t>BC3</t>
  </si>
  <si>
    <t>BC4</t>
  </si>
  <si>
    <t>BC5</t>
  </si>
  <si>
    <t>BC6</t>
  </si>
  <si>
    <t>BC7</t>
  </si>
  <si>
    <t>BC8</t>
  </si>
  <si>
    <t>BC9</t>
  </si>
  <si>
    <t>BC10</t>
  </si>
  <si>
    <t>BC11</t>
  </si>
  <si>
    <t>BC12</t>
  </si>
  <si>
    <t>BC13</t>
  </si>
  <si>
    <t>Bus and Coach Travel</t>
  </si>
  <si>
    <t>Leisure Goods and services</t>
  </si>
  <si>
    <t>BC14</t>
  </si>
  <si>
    <t>BC15</t>
  </si>
  <si>
    <t>HHAB if no AR3/AR4</t>
  </si>
  <si>
    <t xml:space="preserve">2 children if both in AR3 or AR4 </t>
  </si>
  <si>
    <t xml:space="preserve">3 children if all AR3 or AR4 </t>
  </si>
  <si>
    <t xml:space="preserve">4 children if all AR3 or AR4 </t>
  </si>
  <si>
    <t xml:space="preserve">3/4 children if all 3/4 in AR3 or AR4 </t>
  </si>
  <si>
    <t>CH44</t>
  </si>
  <si>
    <t>CH45</t>
  </si>
  <si>
    <t>CH46</t>
  </si>
  <si>
    <t>CH47</t>
  </si>
  <si>
    <t>CH48</t>
  </si>
  <si>
    <t>Weekly budget  2022</t>
  </si>
  <si>
    <t>MINIMUM INCOME STANDARD BUDGET CALCULATOR 2023</t>
  </si>
  <si>
    <t>COMPONENTS AT CURRENT (2023)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</si>
</sst>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9" x14ac:knownFonts="1">
    <font>
      <sz val="11"/>
      <color theme="1"/>
      <name val="Calibri"/>
      <family val="2"/>
      <scheme val="minor"/>
    </font>
    <font>
      <sz val="11"/>
      <color theme="1"/>
      <name val="Calibri"/>
      <family val="2"/>
      <scheme val="minor"/>
    </font>
    <font>
      <b/>
      <sz val="11"/>
      <color theme="1"/>
      <name val="Calibri"/>
      <family val="2"/>
      <scheme val="minor"/>
    </font>
    <font>
      <b/>
      <i/>
      <sz val="10"/>
      <color theme="1"/>
      <name val="Arial"/>
      <family val="2"/>
    </font>
    <font>
      <sz val="11"/>
      <name val="Calibri"/>
      <family val="2"/>
      <scheme val="minor"/>
    </font>
    <font>
      <sz val="11"/>
      <color theme="0" tint="-0.499984740745262"/>
      <name val="Calibri"/>
      <family val="2"/>
      <scheme val="minor"/>
    </font>
    <font>
      <sz val="11"/>
      <color theme="0" tint="-0.249977111117893"/>
      <name val="Calibri"/>
      <family val="2"/>
      <scheme val="minor"/>
    </font>
    <font>
      <b/>
      <sz val="11"/>
      <name val="Calibri"/>
      <family val="2"/>
      <scheme val="minor"/>
    </font>
    <font>
      <sz val="12"/>
      <color theme="1"/>
      <name val="Calibri"/>
      <family val="2"/>
      <scheme val="minor"/>
    </font>
    <font>
      <u/>
      <sz val="11"/>
      <color theme="10"/>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u/>
      <sz val="16"/>
      <color theme="10"/>
      <name val="Calibri"/>
      <family val="2"/>
      <scheme val="minor"/>
    </font>
    <font>
      <b/>
      <sz val="12"/>
      <color theme="4"/>
      <name val="Calibri"/>
      <family val="2"/>
      <scheme val="minor"/>
    </font>
    <font>
      <b/>
      <u/>
      <sz val="14"/>
      <color theme="1"/>
      <name val="Calibri"/>
      <family val="2"/>
      <scheme val="minor"/>
    </font>
    <font>
      <b/>
      <sz val="12"/>
      <color theme="4" tint="-0.249977111117893"/>
      <name val="Calibri"/>
      <family val="2"/>
      <scheme val="minor"/>
    </font>
    <font>
      <u/>
      <sz val="11"/>
      <color theme="1"/>
      <name val="Calibri"/>
      <family val="2"/>
      <scheme val="minor"/>
    </font>
    <font>
      <sz val="11"/>
      <name val="Calibri"/>
      <family val="2"/>
    </font>
  </fonts>
  <fills count="4">
    <fill>
      <patternFill patternType="none"/>
    </fill>
    <fill>
      <patternFill patternType="gray125"/>
    </fill>
    <fill>
      <patternFill patternType="solid">
        <fgColor theme="5" tint="0.59999389629810485"/>
        <bgColor indexed="64"/>
      </patternFill>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48">
    <xf numFmtId="0" fontId="0" fillId="0" borderId="0" xfId="0"/>
    <xf numFmtId="0" fontId="2" fillId="0" borderId="0" xfId="0" applyFont="1"/>
    <xf numFmtId="2" fontId="0" fillId="0" borderId="0" xfId="0" applyNumberFormat="1" applyAlignment="1">
      <alignment horizontal="right" wrapText="1"/>
    </xf>
    <xf numFmtId="0" fontId="0" fillId="0" borderId="0" xfId="0" applyAlignment="1">
      <alignment wrapText="1"/>
    </xf>
    <xf numFmtId="49" fontId="0" fillId="0" borderId="0" xfId="0" applyNumberFormat="1" applyAlignment="1">
      <alignment wrapText="1"/>
    </xf>
    <xf numFmtId="0" fontId="3" fillId="2" borderId="0" xfId="0" applyFont="1" applyFill="1" applyAlignment="1">
      <alignment wrapText="1"/>
    </xf>
    <xf numFmtId="0" fontId="4" fillId="0" borderId="0" xfId="0" applyFont="1" applyAlignment="1">
      <alignment wrapText="1"/>
    </xf>
    <xf numFmtId="0" fontId="0" fillId="0" borderId="0" xfId="0" applyAlignment="1">
      <alignment horizontal="right"/>
    </xf>
    <xf numFmtId="2" fontId="1" fillId="0" borderId="0" xfId="0" applyNumberFormat="1" applyFont="1" applyAlignment="1">
      <alignment horizontal="right"/>
    </xf>
    <xf numFmtId="2" fontId="1" fillId="0" borderId="0" xfId="0" applyNumberFormat="1" applyFont="1" applyAlignment="1">
      <alignment horizontal="right" wrapText="1"/>
    </xf>
    <xf numFmtId="0" fontId="5" fillId="0" borderId="0" xfId="0" applyFont="1"/>
    <xf numFmtId="0" fontId="6" fillId="0" borderId="0" xfId="0" applyFont="1"/>
    <xf numFmtId="0" fontId="2" fillId="0" borderId="0" xfId="0" applyFont="1" applyAlignment="1">
      <alignment wrapText="1"/>
    </xf>
    <xf numFmtId="2" fontId="4" fillId="0" borderId="0" xfId="0" applyNumberFormat="1" applyFont="1" applyAlignment="1">
      <alignment horizontal="right" wrapText="1"/>
    </xf>
    <xf numFmtId="0" fontId="4" fillId="0" borderId="0" xfId="0" applyFont="1"/>
    <xf numFmtId="2" fontId="4" fillId="0" borderId="0" xfId="0" applyNumberFormat="1" applyFont="1" applyAlignment="1">
      <alignment horizontal="right"/>
    </xf>
    <xf numFmtId="2" fontId="4" fillId="0" borderId="0" xfId="0" applyNumberFormat="1" applyFont="1"/>
    <xf numFmtId="2" fontId="7" fillId="0" borderId="0" xfId="0" applyNumberFormat="1" applyFont="1" applyAlignment="1">
      <alignment horizontal="right"/>
    </xf>
    <xf numFmtId="2" fontId="7" fillId="0" borderId="0" xfId="0" applyNumberFormat="1" applyFont="1"/>
    <xf numFmtId="0" fontId="7" fillId="0" borderId="0" xfId="0" applyFont="1" applyAlignment="1">
      <alignment horizontal="right"/>
    </xf>
    <xf numFmtId="2" fontId="0" fillId="0" borderId="0" xfId="0" applyNumberFormat="1"/>
    <xf numFmtId="0" fontId="8" fillId="0" borderId="0" xfId="0" applyFont="1"/>
    <xf numFmtId="0" fontId="9" fillId="0" borderId="0" xfId="1"/>
    <xf numFmtId="0" fontId="10" fillId="0" borderId="0" xfId="0" applyFont="1"/>
    <xf numFmtId="0" fontId="11" fillId="0" borderId="0" xfId="0" applyFont="1"/>
    <xf numFmtId="0" fontId="12" fillId="0" borderId="0" xfId="0" applyFont="1"/>
    <xf numFmtId="0" fontId="13" fillId="0" borderId="0" xfId="1" applyFont="1"/>
    <xf numFmtId="0" fontId="8" fillId="0" borderId="0" xfId="0" applyFont="1" applyAlignment="1">
      <alignment wrapText="1"/>
    </xf>
    <xf numFmtId="0" fontId="9" fillId="0" borderId="0" xfId="1" applyAlignment="1">
      <alignment horizontal="left" vertical="top"/>
    </xf>
    <xf numFmtId="164" fontId="0" fillId="0" borderId="0" xfId="0" applyNumberFormat="1"/>
    <xf numFmtId="0" fontId="2" fillId="0" borderId="0" xfId="0" applyFont="1" applyAlignment="1">
      <alignment vertical="top"/>
    </xf>
    <xf numFmtId="0" fontId="0" fillId="0" borderId="0" xfId="0" applyAlignment="1">
      <alignment horizontal="right" wrapText="1"/>
    </xf>
    <xf numFmtId="0" fontId="0" fillId="3" borderId="1" xfId="0" applyFill="1" applyBorder="1"/>
    <xf numFmtId="2" fontId="2" fillId="0" borderId="0" xfId="0" applyNumberFormat="1" applyFont="1" applyAlignment="1">
      <alignment horizontal="right"/>
    </xf>
    <xf numFmtId="0" fontId="17" fillId="0" borderId="0" xfId="0" applyFont="1" applyAlignment="1">
      <alignment horizontal="right"/>
    </xf>
    <xf numFmtId="2" fontId="0" fillId="0" borderId="0" xfId="0" applyNumberFormat="1" applyAlignment="1">
      <alignment horizontal="right"/>
    </xf>
    <xf numFmtId="0" fontId="2" fillId="0" borderId="0" xfId="0" applyFont="1" applyAlignment="1">
      <alignment horizontal="right"/>
    </xf>
    <xf numFmtId="0" fontId="0" fillId="0" borderId="0" xfId="0" applyAlignment="1">
      <alignment horizontal="left" wrapText="1"/>
    </xf>
    <xf numFmtId="0" fontId="18" fillId="0" borderId="0" xfId="0" applyFont="1" applyAlignment="1">
      <alignment horizontal="left" wrapText="1"/>
    </xf>
    <xf numFmtId="0" fontId="12" fillId="0" borderId="0" xfId="0" applyFont="1" applyAlignment="1">
      <alignment horizontal="center"/>
    </xf>
    <xf numFmtId="0" fontId="8" fillId="0" borderId="0" xfId="0" applyFont="1" applyAlignment="1">
      <alignment horizontal="center"/>
    </xf>
    <xf numFmtId="0" fontId="8" fillId="0" borderId="0" xfId="0" applyFont="1" applyAlignment="1">
      <alignment horizontal="left"/>
    </xf>
    <xf numFmtId="0" fontId="8" fillId="0" borderId="0" xfId="0" applyFont="1" applyAlignment="1">
      <alignment horizontal="left" wrapText="1"/>
    </xf>
    <xf numFmtId="0" fontId="14" fillId="0" borderId="0" xfId="0" applyFont="1" applyAlignment="1">
      <alignment horizontal="left"/>
    </xf>
    <xf numFmtId="0" fontId="15" fillId="0" borderId="0" xfId="0" applyFont="1" applyAlignment="1">
      <alignment horizontal="left"/>
    </xf>
    <xf numFmtId="0" fontId="16" fillId="0" borderId="0" xfId="0" applyFont="1" applyAlignment="1">
      <alignment horizontal="left" vertical="top"/>
    </xf>
    <xf numFmtId="0" fontId="2" fillId="0" borderId="0" xfId="0" applyFont="1" applyAlignment="1">
      <alignment horizontal="right" wrapText="1"/>
    </xf>
    <xf numFmtId="0" fontId="0" fillId="0" borderId="0" xfId="0"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gov.uk/government/collections/households-below-average-income-hbai--2"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4FC13-B374-4395-92BE-F5AF21638274}">
  <dimension ref="A1:AN37"/>
  <sheetViews>
    <sheetView showGridLines="0" zoomScale="115" zoomScaleNormal="115" workbookViewId="0">
      <selection activeCell="A3" sqref="A3:J3"/>
    </sheetView>
  </sheetViews>
  <sheetFormatPr defaultColWidth="9.140625" defaultRowHeight="15.75" x14ac:dyDescent="0.25"/>
  <cols>
    <col min="1" max="7" width="9.140625" style="21"/>
    <col min="8" max="8" width="21.42578125" style="21" customWidth="1"/>
    <col min="9" max="9" width="58.140625" style="21" customWidth="1"/>
    <col min="10" max="10" width="47.85546875" style="21" customWidth="1"/>
    <col min="11" max="16384" width="9.140625" style="21"/>
  </cols>
  <sheetData>
    <row r="1" spans="1:40" s="25" customFormat="1" ht="21" x14ac:dyDescent="0.35">
      <c r="A1" s="24" t="s">
        <v>197</v>
      </c>
      <c r="I1" s="26" t="s">
        <v>199</v>
      </c>
      <c r="J1" s="39"/>
      <c r="K1" s="39"/>
      <c r="L1" s="39"/>
      <c r="M1" s="39"/>
      <c r="N1" s="39"/>
      <c r="O1" s="39"/>
      <c r="P1" s="39"/>
      <c r="Q1" s="39"/>
      <c r="R1" s="39"/>
      <c r="S1" s="39"/>
      <c r="T1" s="39"/>
      <c r="U1" s="39"/>
      <c r="V1" s="39"/>
      <c r="W1" s="39"/>
    </row>
    <row r="2" spans="1:40" ht="36.75" customHeight="1" x14ac:dyDescent="0.3">
      <c r="A2" s="44" t="s">
        <v>198</v>
      </c>
      <c r="B2" s="44"/>
      <c r="C2" s="44"/>
      <c r="D2" s="44"/>
      <c r="E2" s="44"/>
      <c r="F2" s="44"/>
      <c r="G2" s="44"/>
      <c r="H2" s="44"/>
      <c r="I2" s="44"/>
      <c r="J2" s="44"/>
      <c r="K2" s="44"/>
      <c r="L2" s="44"/>
      <c r="M2" s="44"/>
      <c r="N2" s="44"/>
      <c r="O2" s="44"/>
    </row>
    <row r="3" spans="1:40" ht="27" customHeight="1" x14ac:dyDescent="0.25">
      <c r="A3" s="42" t="s">
        <v>196</v>
      </c>
      <c r="B3" s="42"/>
      <c r="C3" s="42"/>
      <c r="D3" s="42"/>
      <c r="E3" s="42"/>
      <c r="F3" s="42"/>
      <c r="G3" s="42"/>
      <c r="H3" s="42"/>
      <c r="I3" s="42"/>
      <c r="J3" s="42"/>
      <c r="K3" s="27"/>
      <c r="L3" s="27"/>
      <c r="M3" s="27"/>
      <c r="N3" s="27"/>
      <c r="O3" s="27"/>
      <c r="P3" s="27"/>
      <c r="Q3" s="27"/>
      <c r="R3" s="27"/>
      <c r="S3" s="27"/>
      <c r="T3" s="27"/>
      <c r="U3" s="27"/>
    </row>
    <row r="4" spans="1:40" ht="40.5" customHeight="1" x14ac:dyDescent="0.25">
      <c r="A4" s="42" t="s">
        <v>193</v>
      </c>
      <c r="B4" s="42"/>
      <c r="C4" s="42"/>
      <c r="D4" s="42"/>
      <c r="E4" s="42"/>
      <c r="F4" s="42"/>
      <c r="G4" s="42"/>
      <c r="H4" s="42"/>
      <c r="I4" s="42"/>
      <c r="J4" s="42"/>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row>
    <row r="5" spans="1:40" ht="29.25" customHeight="1" x14ac:dyDescent="0.25">
      <c r="A5" s="43" t="s">
        <v>201</v>
      </c>
      <c r="B5" s="43"/>
      <c r="C5" s="43"/>
      <c r="D5" s="43"/>
      <c r="E5" s="43"/>
      <c r="F5" s="43"/>
      <c r="G5" s="43"/>
      <c r="H5" s="43"/>
      <c r="I5" s="43"/>
      <c r="J5" s="43"/>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row>
    <row r="6" spans="1:40" ht="23.25" customHeight="1" x14ac:dyDescent="0.25">
      <c r="A6" s="42" t="s">
        <v>187</v>
      </c>
      <c r="B6" s="42"/>
      <c r="C6" s="42"/>
      <c r="D6" s="42"/>
      <c r="E6" s="42"/>
      <c r="F6" s="42"/>
      <c r="G6" s="42"/>
      <c r="H6" s="42"/>
      <c r="I6" s="42"/>
      <c r="J6" s="42"/>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row>
    <row r="7" spans="1:40" ht="40.5" customHeight="1" x14ac:dyDescent="0.25">
      <c r="A7" s="42" t="s">
        <v>194</v>
      </c>
      <c r="B7" s="42"/>
      <c r="C7" s="42"/>
      <c r="D7" s="42"/>
      <c r="E7" s="42"/>
      <c r="F7" s="42"/>
      <c r="G7" s="42"/>
      <c r="H7" s="42"/>
      <c r="I7" s="42"/>
      <c r="J7" s="42"/>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row>
    <row r="8" spans="1:40" ht="22.5" customHeight="1" x14ac:dyDescent="0.25">
      <c r="A8" s="42" t="s">
        <v>192</v>
      </c>
      <c r="B8" s="42"/>
      <c r="C8" s="42"/>
      <c r="D8" s="42"/>
      <c r="E8" s="42"/>
      <c r="F8" s="42"/>
      <c r="G8" s="42"/>
      <c r="H8" s="42"/>
      <c r="I8" s="42"/>
      <c r="J8" s="42"/>
      <c r="K8" s="40"/>
      <c r="L8" s="40"/>
      <c r="M8" s="40"/>
      <c r="N8" s="40"/>
      <c r="O8" s="40"/>
      <c r="P8" s="40"/>
      <c r="Q8" s="40"/>
      <c r="R8" s="40"/>
      <c r="S8" s="40"/>
    </row>
    <row r="9" spans="1:40" x14ac:dyDescent="0.25">
      <c r="A9" s="40"/>
      <c r="B9" s="40"/>
      <c r="C9" s="40"/>
      <c r="D9" s="40"/>
      <c r="E9" s="40"/>
      <c r="F9" s="40"/>
      <c r="G9" s="40"/>
      <c r="H9" s="40"/>
      <c r="I9" s="40"/>
      <c r="J9" s="40"/>
      <c r="K9" s="40"/>
      <c r="L9" s="40"/>
      <c r="M9" s="40"/>
      <c r="N9" s="40"/>
      <c r="O9" s="40"/>
      <c r="P9" s="40"/>
      <c r="Q9" s="40"/>
      <c r="R9" s="40"/>
      <c r="S9" s="40"/>
    </row>
    <row r="10" spans="1:40" x14ac:dyDescent="0.25">
      <c r="A10" s="43" t="s">
        <v>200</v>
      </c>
      <c r="B10" s="43"/>
      <c r="C10" s="43"/>
      <c r="D10" s="43"/>
      <c r="E10" s="43"/>
      <c r="F10" s="43"/>
      <c r="G10" s="43"/>
      <c r="H10" s="43"/>
      <c r="I10" s="43"/>
      <c r="J10" s="43"/>
      <c r="K10" s="40"/>
      <c r="L10" s="40"/>
      <c r="M10" s="40"/>
      <c r="N10" s="40"/>
      <c r="O10" s="40"/>
      <c r="P10" s="40"/>
      <c r="Q10" s="40"/>
      <c r="R10" s="40"/>
      <c r="S10" s="40"/>
    </row>
    <row r="11" spans="1:40" x14ac:dyDescent="0.25">
      <c r="A11" s="41" t="s">
        <v>202</v>
      </c>
      <c r="B11" s="41"/>
      <c r="C11" s="41"/>
      <c r="D11" s="41"/>
      <c r="E11" s="41"/>
      <c r="F11" s="41"/>
      <c r="G11" s="41"/>
      <c r="H11" s="41"/>
      <c r="I11" s="41"/>
      <c r="J11" s="41"/>
      <c r="K11" s="40"/>
      <c r="L11" s="40"/>
      <c r="M11" s="40"/>
      <c r="N11" s="40"/>
      <c r="O11" s="40"/>
      <c r="P11" s="40"/>
      <c r="Q11" s="40"/>
      <c r="R11" s="40"/>
      <c r="S11" s="40"/>
    </row>
    <row r="12" spans="1:40" ht="26.25" customHeight="1" x14ac:dyDescent="0.25">
      <c r="A12" s="41" t="s">
        <v>188</v>
      </c>
      <c r="B12" s="41"/>
      <c r="C12" s="41"/>
      <c r="D12" s="41"/>
      <c r="E12" s="41"/>
      <c r="F12" s="41"/>
      <c r="G12" s="41"/>
      <c r="H12" s="41"/>
      <c r="I12" s="41"/>
      <c r="J12" s="41"/>
      <c r="K12" s="40"/>
      <c r="L12" s="40"/>
      <c r="M12" s="40"/>
      <c r="N12" s="40"/>
      <c r="O12" s="40"/>
      <c r="P12" s="40"/>
      <c r="Q12" s="40"/>
      <c r="R12" s="40"/>
      <c r="S12" s="40"/>
    </row>
    <row r="13" spans="1:40" ht="21" customHeight="1" x14ac:dyDescent="0.25">
      <c r="A13" s="41" t="s">
        <v>189</v>
      </c>
      <c r="B13" s="41"/>
      <c r="C13" s="41"/>
      <c r="D13" s="41"/>
      <c r="E13" s="41"/>
      <c r="F13" s="41"/>
      <c r="G13" s="41"/>
      <c r="H13" s="41"/>
      <c r="I13" s="41"/>
      <c r="J13" s="41"/>
      <c r="K13" s="40"/>
      <c r="L13" s="40"/>
      <c r="M13" s="40"/>
      <c r="N13" s="40"/>
      <c r="O13" s="40"/>
      <c r="P13" s="40"/>
      <c r="Q13" s="40"/>
      <c r="R13" s="40"/>
      <c r="S13" s="40"/>
    </row>
    <row r="14" spans="1:40" ht="26.25" customHeight="1" x14ac:dyDescent="0.25">
      <c r="A14" s="23" t="s">
        <v>190</v>
      </c>
      <c r="K14" s="40"/>
      <c r="L14" s="40"/>
      <c r="M14" s="40"/>
      <c r="N14" s="40"/>
      <c r="O14" s="40"/>
      <c r="P14" s="40"/>
      <c r="Q14" s="40"/>
      <c r="R14" s="40"/>
      <c r="S14" s="40"/>
    </row>
    <row r="15" spans="1:40" ht="22.5" customHeight="1" x14ac:dyDescent="0.25">
      <c r="A15" s="21" t="s">
        <v>191</v>
      </c>
      <c r="K15" s="40"/>
      <c r="L15" s="40"/>
      <c r="M15" s="40"/>
      <c r="N15" s="40"/>
      <c r="O15" s="40"/>
      <c r="P15" s="40"/>
      <c r="Q15" s="40"/>
      <c r="R15" s="40"/>
      <c r="S15" s="40"/>
    </row>
    <row r="16" spans="1:40" ht="35.25" customHeight="1" x14ac:dyDescent="0.25">
      <c r="A16" s="42" t="s">
        <v>195</v>
      </c>
      <c r="B16" s="42"/>
      <c r="C16" s="42"/>
      <c r="D16" s="42"/>
      <c r="E16" s="42"/>
      <c r="F16" s="42"/>
      <c r="G16" s="42"/>
      <c r="H16" s="42"/>
      <c r="I16" s="42"/>
      <c r="J16" s="42"/>
      <c r="K16" s="27"/>
      <c r="L16" s="27"/>
      <c r="M16" s="27"/>
      <c r="N16" s="27"/>
      <c r="O16" s="27"/>
      <c r="P16" s="27"/>
    </row>
    <row r="17" spans="1:18" x14ac:dyDescent="0.25">
      <c r="A17" s="40"/>
      <c r="B17" s="40"/>
      <c r="C17" s="40"/>
      <c r="D17" s="40"/>
      <c r="E17" s="40"/>
      <c r="F17" s="40"/>
      <c r="G17" s="40"/>
      <c r="H17" s="40"/>
      <c r="I17" s="40"/>
      <c r="J17" s="40"/>
      <c r="K17" s="40"/>
      <c r="L17" s="40"/>
      <c r="M17" s="40"/>
      <c r="N17" s="40"/>
      <c r="O17" s="40"/>
      <c r="P17" s="40"/>
      <c r="Q17" s="40"/>
      <c r="R17" s="40"/>
    </row>
    <row r="18" spans="1:18" x14ac:dyDescent="0.25">
      <c r="A18" s="40"/>
      <c r="B18" s="40"/>
      <c r="C18" s="40"/>
      <c r="D18" s="40"/>
      <c r="E18" s="40"/>
      <c r="F18" s="40"/>
      <c r="G18" s="40"/>
      <c r="H18" s="40"/>
      <c r="I18" s="40"/>
      <c r="J18" s="40"/>
      <c r="K18" s="40"/>
      <c r="L18" s="40"/>
      <c r="M18" s="40"/>
      <c r="N18" s="40"/>
      <c r="O18" s="40"/>
      <c r="P18" s="40"/>
      <c r="Q18" s="40"/>
      <c r="R18" s="40"/>
    </row>
    <row r="19" spans="1:18" x14ac:dyDescent="0.25">
      <c r="A19" s="40"/>
      <c r="B19" s="40"/>
      <c r="C19" s="40"/>
      <c r="D19" s="40"/>
      <c r="E19" s="40"/>
      <c r="F19" s="40"/>
      <c r="G19" s="40"/>
      <c r="H19" s="40"/>
      <c r="I19" s="40"/>
      <c r="J19" s="40"/>
      <c r="K19" s="40"/>
      <c r="L19" s="40"/>
      <c r="M19" s="40"/>
      <c r="N19" s="40"/>
      <c r="O19" s="40"/>
      <c r="P19" s="40"/>
      <c r="Q19" s="40"/>
      <c r="R19" s="40"/>
    </row>
    <row r="20" spans="1:18" x14ac:dyDescent="0.25">
      <c r="A20" s="40"/>
      <c r="B20" s="40"/>
      <c r="C20" s="40"/>
      <c r="D20" s="40"/>
      <c r="E20" s="40"/>
      <c r="F20" s="40"/>
      <c r="G20" s="40"/>
      <c r="H20" s="40"/>
      <c r="I20" s="40"/>
      <c r="J20" s="40"/>
      <c r="K20" s="40"/>
      <c r="L20" s="40"/>
      <c r="M20" s="40"/>
      <c r="N20" s="40"/>
      <c r="O20" s="40"/>
      <c r="P20" s="40"/>
      <c r="Q20" s="40"/>
      <c r="R20" s="40"/>
    </row>
    <row r="21" spans="1:18" x14ac:dyDescent="0.25">
      <c r="A21" s="40"/>
      <c r="B21" s="40"/>
      <c r="C21" s="40"/>
      <c r="D21" s="40"/>
      <c r="E21" s="40"/>
      <c r="F21" s="40"/>
      <c r="G21" s="40"/>
      <c r="H21" s="40"/>
      <c r="I21" s="40"/>
      <c r="J21" s="40"/>
      <c r="K21" s="40"/>
      <c r="L21" s="40"/>
      <c r="M21" s="40"/>
      <c r="N21" s="40"/>
      <c r="O21" s="40"/>
      <c r="P21" s="40"/>
      <c r="Q21" s="40"/>
      <c r="R21" s="40"/>
    </row>
    <row r="22" spans="1:18" x14ac:dyDescent="0.25">
      <c r="A22" s="40"/>
      <c r="B22" s="40"/>
      <c r="C22" s="40"/>
      <c r="D22" s="40"/>
      <c r="E22" s="40"/>
      <c r="F22" s="40"/>
      <c r="G22" s="40"/>
      <c r="H22" s="40"/>
      <c r="I22" s="40"/>
      <c r="J22" s="40"/>
      <c r="K22" s="40"/>
      <c r="L22" s="40"/>
      <c r="M22" s="40"/>
      <c r="N22" s="40"/>
      <c r="O22" s="40"/>
      <c r="P22" s="40"/>
      <c r="Q22" s="40"/>
      <c r="R22" s="40"/>
    </row>
    <row r="23" spans="1:18" x14ac:dyDescent="0.25">
      <c r="A23" s="40"/>
      <c r="B23" s="40"/>
      <c r="C23" s="40"/>
      <c r="D23" s="40"/>
      <c r="E23" s="40"/>
      <c r="F23" s="40"/>
      <c r="G23" s="40"/>
      <c r="H23" s="40"/>
      <c r="I23" s="40"/>
      <c r="J23" s="40"/>
      <c r="K23" s="40"/>
      <c r="L23" s="40"/>
      <c r="M23" s="40"/>
      <c r="N23" s="40"/>
      <c r="O23" s="40"/>
      <c r="P23" s="40"/>
      <c r="Q23" s="40"/>
      <c r="R23" s="40"/>
    </row>
    <row r="24" spans="1:18" x14ac:dyDescent="0.25">
      <c r="A24" s="40"/>
      <c r="B24" s="40"/>
      <c r="C24" s="40"/>
      <c r="D24" s="40"/>
      <c r="E24" s="40"/>
      <c r="F24" s="40"/>
      <c r="G24" s="40"/>
      <c r="H24" s="40"/>
      <c r="I24" s="40"/>
      <c r="J24" s="40"/>
      <c r="K24" s="40"/>
      <c r="L24" s="40"/>
      <c r="M24" s="40"/>
      <c r="N24" s="40"/>
      <c r="O24" s="40"/>
      <c r="P24" s="40"/>
      <c r="Q24" s="40"/>
      <c r="R24" s="40"/>
    </row>
    <row r="25" spans="1:18" x14ac:dyDescent="0.25">
      <c r="A25" s="40"/>
      <c r="B25" s="40"/>
      <c r="C25" s="40"/>
      <c r="D25" s="40"/>
      <c r="E25" s="40"/>
      <c r="F25" s="40"/>
      <c r="G25" s="40"/>
      <c r="H25" s="40"/>
      <c r="I25" s="40"/>
      <c r="J25" s="40"/>
      <c r="K25" s="40"/>
      <c r="L25" s="40"/>
      <c r="M25" s="40"/>
      <c r="N25" s="40"/>
      <c r="O25" s="40"/>
      <c r="P25" s="40"/>
      <c r="Q25" s="40"/>
      <c r="R25" s="40"/>
    </row>
    <row r="26" spans="1:18" x14ac:dyDescent="0.25">
      <c r="A26" s="40"/>
      <c r="B26" s="40"/>
      <c r="C26" s="40"/>
      <c r="D26" s="40"/>
      <c r="E26" s="40"/>
      <c r="F26" s="40"/>
      <c r="G26" s="40"/>
      <c r="H26" s="40"/>
      <c r="I26" s="40"/>
      <c r="J26" s="40"/>
      <c r="K26" s="40"/>
      <c r="L26" s="40"/>
      <c r="M26" s="40"/>
      <c r="N26" s="40"/>
      <c r="O26" s="40"/>
      <c r="P26" s="40"/>
      <c r="Q26" s="40"/>
      <c r="R26" s="40"/>
    </row>
    <row r="27" spans="1:18" x14ac:dyDescent="0.25">
      <c r="A27" s="40"/>
      <c r="B27" s="40"/>
      <c r="C27" s="40"/>
      <c r="D27" s="40"/>
      <c r="E27" s="40"/>
      <c r="F27" s="40"/>
      <c r="G27" s="40"/>
      <c r="H27" s="40"/>
      <c r="I27" s="40"/>
      <c r="J27" s="40"/>
      <c r="K27" s="40"/>
      <c r="L27" s="40"/>
      <c r="M27" s="40"/>
      <c r="N27" s="40"/>
      <c r="O27" s="40"/>
      <c r="P27" s="40"/>
      <c r="Q27" s="40"/>
      <c r="R27" s="40"/>
    </row>
    <row r="28" spans="1:18" x14ac:dyDescent="0.25">
      <c r="A28" s="40"/>
      <c r="B28" s="40"/>
      <c r="C28" s="40"/>
      <c r="D28" s="40"/>
      <c r="E28" s="40"/>
      <c r="F28" s="40"/>
      <c r="G28" s="40"/>
      <c r="H28" s="40"/>
      <c r="I28" s="40"/>
      <c r="J28" s="40"/>
      <c r="K28" s="40"/>
      <c r="L28" s="40"/>
      <c r="M28" s="40"/>
      <c r="N28" s="40"/>
      <c r="O28" s="40"/>
      <c r="P28" s="40"/>
      <c r="Q28" s="40"/>
      <c r="R28" s="40"/>
    </row>
    <row r="29" spans="1:18" x14ac:dyDescent="0.25">
      <c r="A29" s="40"/>
      <c r="B29" s="40"/>
      <c r="C29" s="40"/>
      <c r="D29" s="40"/>
      <c r="E29" s="40"/>
      <c r="F29" s="40"/>
      <c r="G29" s="40"/>
      <c r="H29" s="40"/>
      <c r="I29" s="40"/>
      <c r="J29" s="40"/>
      <c r="K29" s="40"/>
      <c r="L29" s="40"/>
      <c r="M29" s="40"/>
      <c r="N29" s="40"/>
      <c r="O29" s="40"/>
      <c r="P29" s="40"/>
      <c r="Q29" s="40"/>
      <c r="R29" s="40"/>
    </row>
    <row r="30" spans="1:18" x14ac:dyDescent="0.25">
      <c r="A30" s="40"/>
      <c r="B30" s="40"/>
      <c r="C30" s="40"/>
      <c r="D30" s="40"/>
      <c r="E30" s="40"/>
      <c r="F30" s="40"/>
      <c r="G30" s="40"/>
      <c r="H30" s="40"/>
      <c r="I30" s="40"/>
      <c r="J30" s="40"/>
      <c r="K30" s="40"/>
      <c r="L30" s="40"/>
      <c r="M30" s="40"/>
      <c r="N30" s="40"/>
      <c r="O30" s="40"/>
      <c r="P30" s="40"/>
      <c r="Q30" s="40"/>
      <c r="R30" s="40"/>
    </row>
    <row r="31" spans="1:18" x14ac:dyDescent="0.25">
      <c r="A31" s="40"/>
      <c r="B31" s="40"/>
      <c r="C31" s="40"/>
      <c r="D31" s="40"/>
      <c r="E31" s="40"/>
      <c r="F31" s="40"/>
      <c r="G31" s="40"/>
      <c r="H31" s="40"/>
      <c r="I31" s="40"/>
      <c r="J31" s="40"/>
      <c r="K31" s="40"/>
      <c r="L31" s="40"/>
      <c r="M31" s="40"/>
      <c r="N31" s="40"/>
      <c r="O31" s="40"/>
      <c r="P31" s="40"/>
      <c r="Q31" s="40"/>
      <c r="R31" s="40"/>
    </row>
    <row r="32" spans="1:18" x14ac:dyDescent="0.25">
      <c r="A32" s="40"/>
      <c r="B32" s="40"/>
      <c r="C32" s="40"/>
      <c r="D32" s="40"/>
      <c r="E32" s="40"/>
      <c r="F32" s="40"/>
      <c r="G32" s="40"/>
      <c r="H32" s="40"/>
      <c r="I32" s="40"/>
      <c r="J32" s="40"/>
      <c r="K32" s="40"/>
      <c r="L32" s="40"/>
      <c r="M32" s="40"/>
      <c r="N32" s="40"/>
      <c r="O32" s="40"/>
      <c r="P32" s="40"/>
      <c r="Q32" s="40"/>
      <c r="R32" s="40"/>
    </row>
    <row r="33" spans="1:18" x14ac:dyDescent="0.25">
      <c r="A33" s="40"/>
      <c r="B33" s="40"/>
      <c r="C33" s="40"/>
      <c r="D33" s="40"/>
      <c r="E33" s="40"/>
      <c r="F33" s="40"/>
      <c r="G33" s="40"/>
      <c r="H33" s="40"/>
      <c r="I33" s="40"/>
      <c r="J33" s="40"/>
      <c r="K33" s="40"/>
      <c r="L33" s="40"/>
      <c r="M33" s="40"/>
      <c r="N33" s="40"/>
      <c r="O33" s="40"/>
      <c r="P33" s="40"/>
      <c r="Q33" s="40"/>
      <c r="R33" s="40"/>
    </row>
    <row r="34" spans="1:18" x14ac:dyDescent="0.25">
      <c r="A34" s="40"/>
      <c r="B34" s="40"/>
      <c r="C34" s="40"/>
      <c r="D34" s="40"/>
      <c r="E34" s="40"/>
      <c r="F34" s="40"/>
      <c r="G34" s="40"/>
      <c r="H34" s="40"/>
      <c r="I34" s="40"/>
      <c r="J34" s="40"/>
      <c r="K34" s="40"/>
      <c r="L34" s="40"/>
      <c r="M34" s="40"/>
      <c r="N34" s="40"/>
      <c r="O34" s="40"/>
      <c r="P34" s="40"/>
      <c r="Q34" s="40"/>
      <c r="R34" s="40"/>
    </row>
    <row r="35" spans="1:18" x14ac:dyDescent="0.25">
      <c r="A35" s="40"/>
      <c r="B35" s="40"/>
      <c r="C35" s="40"/>
      <c r="D35" s="40"/>
      <c r="E35" s="40"/>
      <c r="F35" s="40"/>
      <c r="G35" s="40"/>
      <c r="H35" s="40"/>
      <c r="I35" s="40"/>
      <c r="J35" s="40"/>
      <c r="K35" s="40"/>
      <c r="L35" s="40"/>
      <c r="M35" s="40"/>
      <c r="N35" s="40"/>
      <c r="O35" s="40"/>
      <c r="P35" s="40"/>
      <c r="Q35" s="40"/>
      <c r="R35" s="40"/>
    </row>
    <row r="36" spans="1:18" x14ac:dyDescent="0.25">
      <c r="A36" s="40"/>
      <c r="B36" s="40"/>
      <c r="C36" s="40"/>
      <c r="D36" s="40"/>
      <c r="E36" s="40"/>
      <c r="F36" s="40"/>
      <c r="G36" s="40"/>
      <c r="H36" s="40"/>
      <c r="I36" s="40"/>
      <c r="J36" s="40"/>
      <c r="K36" s="40"/>
      <c r="L36" s="40"/>
      <c r="M36" s="40"/>
      <c r="N36" s="40"/>
      <c r="O36" s="40"/>
      <c r="P36" s="40"/>
      <c r="Q36" s="40"/>
      <c r="R36" s="40"/>
    </row>
    <row r="37" spans="1:18" x14ac:dyDescent="0.25">
      <c r="A37" s="40"/>
      <c r="B37" s="40"/>
      <c r="C37" s="40"/>
      <c r="D37" s="40"/>
      <c r="E37" s="40"/>
      <c r="F37" s="40"/>
      <c r="G37" s="40"/>
      <c r="H37" s="40"/>
      <c r="I37" s="40"/>
      <c r="J37" s="40"/>
      <c r="K37" s="40"/>
      <c r="L37" s="40"/>
      <c r="M37" s="40"/>
      <c r="N37" s="40"/>
      <c r="O37" s="40"/>
      <c r="P37" s="40"/>
      <c r="Q37" s="40"/>
      <c r="R37" s="40"/>
    </row>
  </sheetData>
  <mergeCells count="17">
    <mergeCell ref="A17:R37"/>
    <mergeCell ref="A16:J16"/>
    <mergeCell ref="A4:J4"/>
    <mergeCell ref="A6:J6"/>
    <mergeCell ref="A7:J7"/>
    <mergeCell ref="A8:J8"/>
    <mergeCell ref="A5:J5"/>
    <mergeCell ref="A9:J9"/>
    <mergeCell ref="J1:W1"/>
    <mergeCell ref="K8:S15"/>
    <mergeCell ref="A12:J12"/>
    <mergeCell ref="A11:J11"/>
    <mergeCell ref="A3:J3"/>
    <mergeCell ref="A10:J10"/>
    <mergeCell ref="A13:J13"/>
    <mergeCell ref="A2:O2"/>
    <mergeCell ref="K4:AN7"/>
  </mergeCells>
  <hyperlinks>
    <hyperlink ref="I1" location="calculator!A1" display="Go to calculator" xr:uid="{250BBB8F-9D12-41ED-8843-B95731B11A7A}"/>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91218-1A7E-4507-9365-0AAD085BA73E}">
  <dimension ref="A1:AU48"/>
  <sheetViews>
    <sheetView zoomScaleNormal="100" workbookViewId="0">
      <pane xSplit="1" topLeftCell="B1" activePane="topRight" state="frozen"/>
      <selection activeCell="B2" sqref="B2:L24"/>
      <selection pane="topRight" activeCell="B2" sqref="B2:L24"/>
    </sheetView>
  </sheetViews>
  <sheetFormatPr defaultColWidth="8.85546875" defaultRowHeight="15" x14ac:dyDescent="0.25"/>
  <cols>
    <col min="1" max="1" width="15.42578125" customWidth="1"/>
    <col min="2" max="2" width="14" customWidth="1"/>
    <col min="4" max="4" width="11.85546875" customWidth="1"/>
    <col min="5" max="5" width="11" customWidth="1"/>
    <col min="35" max="35" width="11" customWidth="1"/>
    <col min="36" max="36" width="11.42578125" customWidth="1"/>
    <col min="37" max="37" width="14.140625" customWidth="1"/>
  </cols>
  <sheetData>
    <row r="1" spans="1:12" x14ac:dyDescent="0.25">
      <c r="A1" s="1" t="s">
        <v>141</v>
      </c>
    </row>
    <row r="2" spans="1:12" x14ac:dyDescent="0.25">
      <c r="A2" t="s">
        <v>88</v>
      </c>
      <c r="B2">
        <v>0</v>
      </c>
    </row>
    <row r="3" spans="1:12" x14ac:dyDescent="0.25">
      <c r="A3" t="s">
        <v>89</v>
      </c>
      <c r="B3">
        <v>2</v>
      </c>
    </row>
    <row r="5" spans="1:12" x14ac:dyDescent="0.25">
      <c r="A5" t="s">
        <v>55</v>
      </c>
      <c r="B5" t="s">
        <v>56</v>
      </c>
      <c r="C5" t="s">
        <v>57</v>
      </c>
      <c r="D5" t="s">
        <v>58</v>
      </c>
      <c r="E5" t="s">
        <v>90</v>
      </c>
    </row>
    <row r="6" spans="1:12" x14ac:dyDescent="0.25">
      <c r="A6">
        <v>0</v>
      </c>
      <c r="B6">
        <v>0</v>
      </c>
      <c r="C6">
        <v>0</v>
      </c>
      <c r="D6">
        <v>0</v>
      </c>
      <c r="E6">
        <f>SUM(A6:D6)</f>
        <v>0</v>
      </c>
    </row>
    <row r="8" spans="1:12" x14ac:dyDescent="0.25">
      <c r="A8" s="1" t="s">
        <v>87</v>
      </c>
      <c r="B8" t="s">
        <v>0</v>
      </c>
      <c r="C8" t="s">
        <v>1</v>
      </c>
      <c r="D8" t="s">
        <v>2</v>
      </c>
      <c r="E8" t="s">
        <v>3</v>
      </c>
      <c r="F8" t="s">
        <v>91</v>
      </c>
      <c r="G8" t="s">
        <v>92</v>
      </c>
      <c r="H8" t="s">
        <v>93</v>
      </c>
      <c r="I8" t="s">
        <v>94</v>
      </c>
      <c r="J8" t="s">
        <v>95</v>
      </c>
      <c r="K8" t="s">
        <v>96</v>
      </c>
      <c r="L8" t="s">
        <v>97</v>
      </c>
    </row>
    <row r="9" spans="1:12" x14ac:dyDescent="0.25">
      <c r="B9">
        <f>IF(AND(B2=1,E6=0),1,0)</f>
        <v>0</v>
      </c>
      <c r="C9">
        <f>IF(AND(B2=2,E6=0),1,0)</f>
        <v>0</v>
      </c>
      <c r="D9">
        <f>IF(AND(B3=1,E6=0),1,0)</f>
        <v>0</v>
      </c>
      <c r="E9">
        <f>IF(AND(B3=2,E6=0),1,0)</f>
        <v>1</v>
      </c>
      <c r="F9">
        <f>IF(AND(B2=1,E6=1),1,0)</f>
        <v>0</v>
      </c>
      <c r="G9">
        <f>IF(AND(B2=1,E6=2),1,0)</f>
        <v>0</v>
      </c>
      <c r="H9">
        <f>IF(AND(B2=1,E6=3),1,0)</f>
        <v>0</v>
      </c>
      <c r="I9">
        <f>IF(AND(B2=2,E6=1),1,0)</f>
        <v>0</v>
      </c>
      <c r="J9">
        <f>IF(AND(B2=2,E6=2),1,0)</f>
        <v>0</v>
      </c>
      <c r="K9">
        <f>IF(AND(B2=2,E6=3),1,0)</f>
        <v>0</v>
      </c>
      <c r="L9">
        <f>IF(AND(B2=2,E6=4),1,0)</f>
        <v>0</v>
      </c>
    </row>
    <row r="11" spans="1:12" x14ac:dyDescent="0.25">
      <c r="A11" s="1"/>
      <c r="B11" s="1" t="s">
        <v>146</v>
      </c>
      <c r="C11" s="10" t="s">
        <v>147</v>
      </c>
      <c r="D11" s="10" t="s">
        <v>148</v>
      </c>
      <c r="E11" s="10" t="s">
        <v>98</v>
      </c>
    </row>
    <row r="12" spans="1:12" x14ac:dyDescent="0.25">
      <c r="A12" s="9" t="s">
        <v>64</v>
      </c>
      <c r="C12" s="10"/>
      <c r="D12" s="10"/>
      <c r="E12" s="10"/>
    </row>
    <row r="13" spans="1:12" x14ac:dyDescent="0.25">
      <c r="A13" s="8" t="s">
        <v>65</v>
      </c>
      <c r="B13">
        <f>C13+D13+E13</f>
        <v>113.36478215503941</v>
      </c>
      <c r="C13" s="10">
        <f>SUM(B$9*'2023 components'!C5,C$9*'2023 components'!D5,D$9*'2023 components'!E5,E$9*'2023 components'!F5,F$9*'2023 components'!G5,G$9*'2023 components'!H5,H$9*'2023 components'!I5,I$9*'2023 components'!J5,J$9*'2023 components'!K5,K$9*'2023 components'!L5,L$9*'2023 components'!M5)</f>
        <v>113.36478215503941</v>
      </c>
      <c r="D13" s="10">
        <f>SUM(A$6*'2023 components'!N5,B$6*'2023 components'!O5,C$6*'2023 components'!P5,D$6*'2023 components'!Q5)</f>
        <v>0</v>
      </c>
      <c r="E13" s="10"/>
    </row>
    <row r="14" spans="1:12" x14ac:dyDescent="0.25">
      <c r="A14" s="8" t="s">
        <v>66</v>
      </c>
      <c r="B14">
        <f t="shared" ref="B14:B29" si="0">C14+D14+E14</f>
        <v>12.991518057071684</v>
      </c>
      <c r="C14" s="10">
        <f>SUM(B$9*'2023 components'!C6,C$9*'2023 components'!D6,D$9*'2023 components'!E6,E$9*'2023 components'!F6,F$9*'2023 components'!G6,G$9*'2023 components'!H6,H$9*'2023 components'!I6,I$9*'2023 components'!J6,J$9*'2023 components'!K6,K$9*'2023 components'!L6,L$9*'2023 components'!M6)</f>
        <v>12.991518057071684</v>
      </c>
      <c r="D14" s="10">
        <f>SUM(A$6*'2023 components'!N6,B$6*'2023 components'!O6,C$6*'2023 components'!P6,D$6*'2023 components'!Q6)</f>
        <v>0</v>
      </c>
      <c r="E14" s="10"/>
    </row>
    <row r="15" spans="1:12" x14ac:dyDescent="0.25">
      <c r="A15" s="8" t="s">
        <v>67</v>
      </c>
      <c r="B15">
        <f t="shared" si="0"/>
        <v>0</v>
      </c>
      <c r="C15" s="10">
        <f>SUM(B$9*'2023 components'!C7,C$9*'2023 components'!D7,D$9*'2023 components'!E7,E$9*'2023 components'!F7,F$9*'2023 components'!G7,G$9*'2023 components'!H7,H$9*'2023 components'!I7,I$9*'2023 components'!J7,J$9*'2023 components'!K7,K$9*'2023 components'!L7,L$9*'2023 components'!M7)</f>
        <v>0</v>
      </c>
      <c r="D15" s="10">
        <f>SUM(A$6*'2023 components'!N7,B$6*'2023 components'!O7,C$6*'2023 components'!P7,D$6*'2023 components'!Q7)</f>
        <v>0</v>
      </c>
      <c r="E15" s="10"/>
    </row>
    <row r="16" spans="1:12" x14ac:dyDescent="0.25">
      <c r="A16" s="8" t="s">
        <v>68</v>
      </c>
      <c r="B16">
        <f t="shared" si="0"/>
        <v>19.034378628904111</v>
      </c>
      <c r="C16" s="10">
        <f>SUM(B$9*'2023 components'!C8,C$9*'2023 components'!D8,D$9*'2023 components'!E8,E$9*'2023 components'!F8,F$9*'2023 components'!G8,G$9*'2023 components'!H8,H$9*'2023 components'!I8,I$9*'2023 components'!J8,J$9*'2023 components'!K8,K$9*'2023 components'!L8,L$9*'2023 components'!M8)</f>
        <v>19.034378628904111</v>
      </c>
      <c r="D16" s="10">
        <f>SUM(A$6*'2023 components'!N8,B$6*'2023 components'!O8,C$6*'2023 components'!P8,D$6*'2023 components'!Q8)</f>
        <v>0</v>
      </c>
      <c r="E16" s="10"/>
    </row>
    <row r="17" spans="1:11" x14ac:dyDescent="0.25">
      <c r="A17" s="8" t="s">
        <v>69</v>
      </c>
      <c r="B17">
        <f t="shared" si="0"/>
        <v>9.5085785983827478</v>
      </c>
      <c r="C17" s="10">
        <f>SUM(B$9*'2023 components'!C9,C$9*'2023 components'!D9,D$9*'2023 components'!E9,E$9*'2023 components'!F9,F$9*'2023 components'!G9,G$9*'2023 components'!H9,H$9*'2023 components'!I9,I$9*'2023 components'!J9,J$9*'2023 components'!K9,K$9*'2023 components'!L9,L$9*'2023 components'!M9)</f>
        <v>9.5085785983827478</v>
      </c>
      <c r="D17" s="10">
        <f>SUM(A$6*'2023 components'!N9,B$6*'2023 components'!O9,C$6*'2023 components'!P9,D$6*'2023 components'!Q9)</f>
        <v>0</v>
      </c>
      <c r="E17" s="10"/>
    </row>
    <row r="18" spans="1:11" x14ac:dyDescent="0.25">
      <c r="A18" s="8" t="s">
        <v>70</v>
      </c>
      <c r="B18">
        <f t="shared" si="0"/>
        <v>27.577866666666662</v>
      </c>
      <c r="C18" s="10">
        <f>SUM(B$9*'2023 components'!C10,C$9*'2023 components'!D10,D$9*'2023 components'!E10,E$9*'2023 components'!F10,F$9*'2023 components'!G10,G$9*'2023 components'!H10,H$9*'2023 components'!I10,I$9*'2023 components'!J10,J$9*'2023 components'!K10,K$9*'2023 components'!L10,L$9*'2023 components'!M10)</f>
        <v>27.577866666666662</v>
      </c>
      <c r="D18" s="10">
        <f>SUM(A$6*'2023 components'!N10,B$6*'2023 components'!O10,C$6*'2023 components'!P10,D$6*'2023 components'!Q10)</f>
        <v>0</v>
      </c>
      <c r="E18" s="10"/>
    </row>
    <row r="19" spans="1:11" x14ac:dyDescent="0.25">
      <c r="A19" s="8" t="s">
        <v>71</v>
      </c>
      <c r="B19">
        <f t="shared" si="0"/>
        <v>1.9892737141380203</v>
      </c>
      <c r="C19" s="10">
        <f>SUM(B$9*'2023 components'!C11,C$9*'2023 components'!D11,D$9*'2023 components'!E11,E$9*'2023 components'!F11,F$9*'2023 components'!G11,G$9*'2023 components'!H11,H$9*'2023 components'!I11,I$9*'2023 components'!J11,J$9*'2023 components'!K11,K$9*'2023 components'!L11,L$9*'2023 components'!M11)</f>
        <v>1.9892737141380203</v>
      </c>
      <c r="D19" s="10">
        <f>SUM(A$6*'2023 components'!N11,B$6*'2023 components'!O11,C$6*'2023 components'!P11,D$6*'2023 components'!Q11)</f>
        <v>0</v>
      </c>
      <c r="E19" s="10"/>
    </row>
    <row r="20" spans="1:11" x14ac:dyDescent="0.25">
      <c r="A20" s="8" t="s">
        <v>72</v>
      </c>
      <c r="B20">
        <f t="shared" si="0"/>
        <v>43.444146923013705</v>
      </c>
      <c r="C20" s="10">
        <f>SUM(B$9*'2023 components'!C12,C$9*'2023 components'!D12,D$9*'2023 components'!E12,E$9*'2023 components'!F12,F$9*'2023 components'!G12,G$9*'2023 components'!H12,H$9*'2023 components'!I12,I$9*'2023 components'!J12,J$9*'2023 components'!K12,K$9*'2023 components'!L12,L$9*'2023 components'!M12)</f>
        <v>43.444146923013705</v>
      </c>
      <c r="D20" s="10">
        <f>SUM(A$6*'2023 components'!N12,B$6*'2023 components'!O12,C$6*'2023 components'!P12,D$6*'2023 components'!Q12)</f>
        <v>0</v>
      </c>
      <c r="E20" s="10">
        <f>K41</f>
        <v>0</v>
      </c>
    </row>
    <row r="21" spans="1:11" x14ac:dyDescent="0.25">
      <c r="A21" s="8" t="s">
        <v>73</v>
      </c>
      <c r="B21">
        <f t="shared" si="0"/>
        <v>2.0144754201447497</v>
      </c>
      <c r="C21" s="10">
        <f>SUM(B$9*'2023 components'!C13,C$9*'2023 components'!D13,D$9*'2023 components'!E13,E$9*'2023 components'!F13,F$9*'2023 components'!G13,G$9*'2023 components'!H13,H$9*'2023 components'!I13,I$9*'2023 components'!J13,J$9*'2023 components'!K13,K$9*'2023 components'!L13,L$9*'2023 components'!M13)</f>
        <v>2.0144754201447497</v>
      </c>
      <c r="D21" s="10">
        <f>SUM(A$6*'2023 components'!N13,B$6*'2023 components'!O13,C$6*'2023 components'!P13,D$6*'2023 components'!Q13)</f>
        <v>0</v>
      </c>
      <c r="E21" s="10"/>
    </row>
    <row r="22" spans="1:11" x14ac:dyDescent="0.25">
      <c r="A22" s="8" t="s">
        <v>74</v>
      </c>
      <c r="B22">
        <f t="shared" si="0"/>
        <v>24.429461567651487</v>
      </c>
      <c r="C22" s="10">
        <f>SUM(B$9*'2023 components'!C14,C$9*'2023 components'!D14,D$9*'2023 components'!E14,E$9*'2023 components'!F14,F$9*'2023 components'!G14,G$9*'2023 components'!H14,H$9*'2023 components'!I14,I$9*'2023 components'!J14,J$9*'2023 components'!K14,K$9*'2023 components'!L14,L$9*'2023 components'!M14)</f>
        <v>24.429461567651487</v>
      </c>
      <c r="D22" s="10">
        <f>SUM(A$6*'2023 components'!N14,B$6*'2023 components'!O14,C$6*'2023 components'!P14,D$6*'2023 components'!Q14)</f>
        <v>0</v>
      </c>
      <c r="E22" s="10">
        <f>SUM(M41:Q41)</f>
        <v>0</v>
      </c>
    </row>
    <row r="23" spans="1:11" x14ac:dyDescent="0.25">
      <c r="A23" s="8" t="s">
        <v>75</v>
      </c>
      <c r="B23">
        <f t="shared" si="0"/>
        <v>13.241001908052384</v>
      </c>
      <c r="C23" s="10">
        <f>SUM(B$9*'2023 components'!C15,C$9*'2023 components'!D15,D$9*'2023 components'!E15,E$9*'2023 components'!F15,F$9*'2023 components'!G15,G$9*'2023 components'!H15,H$9*'2023 components'!I15,I$9*'2023 components'!J15,J$9*'2023 components'!K15,K$9*'2023 components'!L15,L$9*'2023 components'!M15)</f>
        <v>13.241001908052384</v>
      </c>
      <c r="D23" s="10">
        <f>SUM(A$6*'2023 components'!N15,B$6*'2023 components'!O15,C$6*'2023 components'!P15,D$6*'2023 components'!Q15)</f>
        <v>0</v>
      </c>
      <c r="E23" s="10"/>
    </row>
    <row r="24" spans="1:11" x14ac:dyDescent="0.25">
      <c r="A24" s="8" t="s">
        <v>76</v>
      </c>
      <c r="B24">
        <f t="shared" si="0"/>
        <v>0</v>
      </c>
      <c r="C24" s="10">
        <f>SUM(B$9*'2023 components'!C16,C$9*'2023 components'!D16,D$9*'2023 components'!E16,E$9*'2023 components'!F16,F$9*'2023 components'!G16,G$9*'2023 components'!H16,H$9*'2023 components'!I16,I$9*'2023 components'!J16,J$9*'2023 components'!K16,K$9*'2023 components'!L16,L$9*'2023 components'!M16)</f>
        <v>0</v>
      </c>
      <c r="D24" s="10">
        <f>SUM(A$6*'2023 components'!N16,B$6*'2023 components'!O16,C$6*'2023 components'!P16,D$6*'2023 components'!Q16)</f>
        <v>0</v>
      </c>
      <c r="E24" s="10">
        <f>SUM(E41:J41)</f>
        <v>0</v>
      </c>
    </row>
    <row r="25" spans="1:11" x14ac:dyDescent="0.25">
      <c r="A25" s="8" t="s">
        <v>77</v>
      </c>
      <c r="B25">
        <f t="shared" si="0"/>
        <v>57.768981507495255</v>
      </c>
      <c r="C25" s="10">
        <f>SUM(B$9*'2023 components'!C17,C$9*'2023 components'!D17,D$9*'2023 components'!E17,E$9*'2023 components'!F17,F$9*'2023 components'!G17,G$9*'2023 components'!H17,H$9*'2023 components'!I17,I$9*'2023 components'!J17,J$9*'2023 components'!K17,K$9*'2023 components'!L17,L$9*'2023 components'!M17)</f>
        <v>57.768981507495255</v>
      </c>
      <c r="D25" s="10">
        <f>SUM(A$6*'2023 components'!N17,B$6*'2023 components'!O17,C$6*'2023 components'!P17,D$6*'2023 components'!Q17)</f>
        <v>0</v>
      </c>
      <c r="E25" s="10">
        <f>SUM(T41:W41)</f>
        <v>0</v>
      </c>
    </row>
    <row r="26" spans="1:11" x14ac:dyDescent="0.25">
      <c r="A26" s="8" t="s">
        <v>10</v>
      </c>
      <c r="B26">
        <f t="shared" si="0"/>
        <v>0</v>
      </c>
      <c r="C26" s="10">
        <f>SUM(B$9*'2023 components'!C18,C$9*'2023 components'!D18,D$9*'2023 components'!E18,E$9*'2023 components'!F18,F$9*'2023 components'!G18,G$9*'2023 components'!H18,H$9*'2023 components'!I18,I$9*'2023 components'!J18,J$9*'2023 components'!K18,K$9*'2023 components'!L18,L$9*'2023 components'!M18)</f>
        <v>0</v>
      </c>
      <c r="D26" s="10">
        <f>SUM(A$6*'2023 components'!N18,B$6*'2023 components'!O18,C$6*'2023 components'!P18,D$6*'2023 components'!Q18)</f>
        <v>0</v>
      </c>
      <c r="E26" s="10">
        <f>AD48</f>
        <v>0</v>
      </c>
    </row>
    <row r="27" spans="1:11" x14ac:dyDescent="0.25">
      <c r="A27" s="8" t="s">
        <v>78</v>
      </c>
      <c r="B27">
        <f t="shared" si="0"/>
        <v>20.63606866552427</v>
      </c>
      <c r="C27">
        <f>I27+I28</f>
        <v>20.63606866552427</v>
      </c>
      <c r="D27">
        <f t="shared" ref="D27:E27" si="1">J27+J28</f>
        <v>0</v>
      </c>
      <c r="E27">
        <f t="shared" si="1"/>
        <v>0</v>
      </c>
      <c r="G27" t="s">
        <v>169</v>
      </c>
      <c r="H27">
        <f>I27+J27+K27</f>
        <v>0</v>
      </c>
      <c r="I27" s="10">
        <f>SUM(B$9*'2023 components'!C19,C$9*'2023 components'!D19,D$9*'2023 components'!E19,E$9*'2023 components'!F19,F$9*'2023 components'!G19,G$9*'2023 components'!H19,H$9*'2023 components'!I19,I$9*'2023 components'!J19,J$9*'2023 components'!K19,K$9*'2023 components'!L19,L$9*'2023 components'!M19)</f>
        <v>0</v>
      </c>
      <c r="J27" s="10">
        <f>SUM(A$6*'2023 components'!N19,B$6*'2023 components'!O19,C$6*'2023 components'!P19,D$6*'2023 components'!Q19)</f>
        <v>0</v>
      </c>
      <c r="K27" s="10"/>
    </row>
    <row r="28" spans="1:11" x14ac:dyDescent="0.25">
      <c r="A28" s="8" t="s">
        <v>79</v>
      </c>
      <c r="B28">
        <f t="shared" si="0"/>
        <v>82.699980260034778</v>
      </c>
      <c r="C28" s="10">
        <f>SUM(B$9*'2023 components'!C21,C$9*'2023 components'!D21,D$9*'2023 components'!E21,E$9*'2023 components'!F21,F$9*'2023 components'!G21,G$9*'2023 components'!H21,H$9*'2023 components'!I21,I$9*'2023 components'!J21,J$9*'2023 components'!K21,K$9*'2023 components'!L21,L$9*'2023 components'!M21)</f>
        <v>82.699980260034778</v>
      </c>
      <c r="D28" s="10">
        <f>SUM(A$6*'2023 components'!N21,B$6*'2023 components'!O21,C$6*'2023 components'!P21,D$6*'2023 components'!Q21)</f>
        <v>0</v>
      </c>
      <c r="E28" s="10">
        <f>SUM(X41:AA41)+SUM(AM41:AP41)</f>
        <v>0</v>
      </c>
      <c r="G28" t="s">
        <v>170</v>
      </c>
      <c r="H28">
        <f>I28+J28+K28</f>
        <v>20.63606866552427</v>
      </c>
      <c r="I28" s="10">
        <f>SUM(B$9*'2023 components'!C20,C$9*'2023 components'!D20,D$9*'2023 components'!E20,E$9*'2023 components'!F20,F$9*'2023 components'!G20,G$9*'2023 components'!H20,H$9*'2023 components'!I20,I$9*'2023 components'!J20,J$9*'2023 components'!K20,K$9*'2023 components'!L20,L$9*'2023 components'!M20)</f>
        <v>20.63606866552427</v>
      </c>
      <c r="J28" s="10">
        <f>SUM(A$6*'2023 components'!N20,B$6*'2023 components'!O20,C$6*'2023 components'!P20,D$6*'2023 components'!Q20)</f>
        <v>0</v>
      </c>
      <c r="K28" s="10"/>
    </row>
    <row r="29" spans="1:11" x14ac:dyDescent="0.25">
      <c r="A29" s="8" t="s">
        <v>80</v>
      </c>
      <c r="B29">
        <f t="shared" si="0"/>
        <v>98.917069033137039</v>
      </c>
      <c r="C29" s="10">
        <f>SUM(B$9*'2023 components'!C22,C$9*'2023 components'!D22,D$9*'2023 components'!E22,E$9*'2023 components'!F22,F$9*'2023 components'!G22,G$9*'2023 components'!H22,H$9*'2023 components'!I22,I$9*'2023 components'!J22,J$9*'2023 components'!K22,K$9*'2023 components'!L22,L$9*'2023 components'!M22)</f>
        <v>98.917069033137039</v>
      </c>
      <c r="D29" s="10">
        <f>SUM(A$6*'2023 components'!N22,B$6*'2023 components'!O22,C$6*'2023 components'!P22,D$6*'2023 components'!Q22)</f>
        <v>0</v>
      </c>
      <c r="E29" s="10"/>
    </row>
    <row r="30" spans="1:11" x14ac:dyDescent="0.25">
      <c r="E30" s="10"/>
    </row>
    <row r="33" spans="1:47" x14ac:dyDescent="0.25">
      <c r="A33" s="11" t="s">
        <v>78</v>
      </c>
      <c r="B33" s="11" t="s">
        <v>149</v>
      </c>
      <c r="C33" s="11">
        <f>SUM(B$9*'2023 components'!C17,C$9*'2023 components'!D17,D$9*'2023 components'!E17,E$9*'2023 components'!F17,F$9*'2023 components'!G17,G$9*'2023 components'!H17,H$9*'2023 components'!I17,I$9*'2023 components'!J17,J$9*'2023 components'!K17,K$9*'2023 components'!L17,L$9*'2023 components'!M17)</f>
        <v>57.768981507495255</v>
      </c>
      <c r="D33" s="10">
        <f>SUM(A$6*'2023 components'!N17,B$6*'2023 components'!O17,C$6*'2023 components'!P17,D$6*'2023 components'!Q17)</f>
        <v>0</v>
      </c>
    </row>
    <row r="34" spans="1:47" x14ac:dyDescent="0.25">
      <c r="A34" s="11"/>
      <c r="B34" s="11" t="s">
        <v>150</v>
      </c>
      <c r="C34" s="11">
        <f>SUM(B$9*'2023 components'!C18,C$9*'2023 components'!D18,D$9*'2023 components'!E18,E$9*'2023 components'!F18,F$9*'2023 components'!G18,G$9*'2023 components'!H18,H$9*'2023 components'!I18,I$9*'2023 components'!J18,J$9*'2023 components'!K18,K$9*'2023 components'!L18,L$9*'2023 components'!M18)</f>
        <v>0</v>
      </c>
      <c r="D34" s="10">
        <f>SUM(A$6*'2023 components'!N18,B$6*'2023 components'!O18,C$6*'2023 components'!P18,D$6*'2023 components'!Q18)</f>
        <v>0</v>
      </c>
    </row>
    <row r="35" spans="1:47" x14ac:dyDescent="0.25">
      <c r="A35" s="11"/>
      <c r="B35" s="11" t="s">
        <v>151</v>
      </c>
      <c r="C35" s="11">
        <f>C33+C34</f>
        <v>57.768981507495255</v>
      </c>
      <c r="D35" s="11">
        <f>D33+D34</f>
        <v>0</v>
      </c>
    </row>
    <row r="37" spans="1:47" ht="45" x14ac:dyDescent="0.25">
      <c r="E37" t="s">
        <v>28</v>
      </c>
      <c r="F37" t="s">
        <v>29</v>
      </c>
      <c r="G37" t="s">
        <v>30</v>
      </c>
      <c r="H37" t="s">
        <v>31</v>
      </c>
      <c r="I37" t="s">
        <v>32</v>
      </c>
      <c r="J37" t="s">
        <v>33</v>
      </c>
      <c r="K37" t="s">
        <v>34</v>
      </c>
      <c r="L37" t="s">
        <v>35</v>
      </c>
      <c r="M37" t="s">
        <v>36</v>
      </c>
      <c r="N37" t="s">
        <v>37</v>
      </c>
      <c r="O37" t="s">
        <v>38</v>
      </c>
      <c r="P37" t="s">
        <v>39</v>
      </c>
      <c r="Q37" t="s">
        <v>40</v>
      </c>
      <c r="R37" t="s">
        <v>41</v>
      </c>
      <c r="S37" t="s">
        <v>42</v>
      </c>
      <c r="T37" t="s">
        <v>39</v>
      </c>
      <c r="U37" t="s">
        <v>40</v>
      </c>
      <c r="V37" t="s">
        <v>99</v>
      </c>
      <c r="W37" s="3" t="s">
        <v>44</v>
      </c>
      <c r="X37" t="s">
        <v>100</v>
      </c>
      <c r="Y37" t="s">
        <v>101</v>
      </c>
      <c r="Z37" t="s">
        <v>102</v>
      </c>
      <c r="AA37" t="s">
        <v>48</v>
      </c>
      <c r="AB37" t="s">
        <v>49</v>
      </c>
      <c r="AC37" t="s">
        <v>50</v>
      </c>
      <c r="AD37" t="s">
        <v>51</v>
      </c>
      <c r="AE37" t="s">
        <v>52</v>
      </c>
      <c r="AF37" t="s">
        <v>53</v>
      </c>
      <c r="AG37" t="s">
        <v>54</v>
      </c>
      <c r="AH37" t="s">
        <v>55</v>
      </c>
      <c r="AI37" t="s">
        <v>56</v>
      </c>
      <c r="AJ37" t="s">
        <v>57</v>
      </c>
      <c r="AK37" t="s">
        <v>58</v>
      </c>
      <c r="AL37" t="s">
        <v>145</v>
      </c>
      <c r="AM37" t="s">
        <v>60</v>
      </c>
      <c r="AN37" t="s">
        <v>61</v>
      </c>
      <c r="AO37" t="s">
        <v>62</v>
      </c>
      <c r="AP37" t="s">
        <v>63</v>
      </c>
      <c r="AT37" t="s">
        <v>144</v>
      </c>
    </row>
    <row r="38" spans="1:47" ht="45" x14ac:dyDescent="0.25">
      <c r="D38" s="12" t="s">
        <v>152</v>
      </c>
      <c r="E38" t="s">
        <v>103</v>
      </c>
      <c r="F38" t="s">
        <v>104</v>
      </c>
      <c r="G38" t="s">
        <v>105</v>
      </c>
      <c r="H38" t="s">
        <v>106</v>
      </c>
      <c r="I38" t="s">
        <v>107</v>
      </c>
      <c r="J38" t="s">
        <v>108</v>
      </c>
      <c r="K38" t="s">
        <v>109</v>
      </c>
      <c r="L38" t="s">
        <v>110</v>
      </c>
      <c r="M38" t="s">
        <v>111</v>
      </c>
      <c r="N38" t="s">
        <v>112</v>
      </c>
      <c r="O38" t="s">
        <v>113</v>
      </c>
      <c r="P38" t="s">
        <v>114</v>
      </c>
      <c r="Q38" t="s">
        <v>115</v>
      </c>
      <c r="R38" t="s">
        <v>116</v>
      </c>
      <c r="S38" t="s">
        <v>117</v>
      </c>
      <c r="T38" t="s">
        <v>118</v>
      </c>
      <c r="U38" t="s">
        <v>119</v>
      </c>
      <c r="V38" t="s">
        <v>120</v>
      </c>
      <c r="W38" t="s">
        <v>121</v>
      </c>
      <c r="X38" t="s">
        <v>122</v>
      </c>
      <c r="Y38" t="s">
        <v>123</v>
      </c>
      <c r="Z38" t="s">
        <v>124</v>
      </c>
      <c r="AA38" t="s">
        <v>125</v>
      </c>
      <c r="AB38" t="s">
        <v>126</v>
      </c>
      <c r="AC38" t="s">
        <v>127</v>
      </c>
      <c r="AD38" t="s">
        <v>128</v>
      </c>
      <c r="AE38" t="s">
        <v>129</v>
      </c>
      <c r="AF38" t="s">
        <v>130</v>
      </c>
      <c r="AG38" t="s">
        <v>131</v>
      </c>
      <c r="AH38" t="s">
        <v>132</v>
      </c>
      <c r="AI38" t="s">
        <v>133</v>
      </c>
      <c r="AJ38" t="s">
        <v>134</v>
      </c>
      <c r="AK38" t="s">
        <v>135</v>
      </c>
      <c r="AL38" t="s">
        <v>136</v>
      </c>
      <c r="AM38" t="s">
        <v>137</v>
      </c>
      <c r="AN38" t="s">
        <v>138</v>
      </c>
      <c r="AO38" t="s">
        <v>139</v>
      </c>
      <c r="AP38" t="s">
        <v>140</v>
      </c>
      <c r="AT38" t="s">
        <v>142</v>
      </c>
      <c r="AU38">
        <f>IF(AND(E6&gt;0,AU39=0),1,0)</f>
        <v>0</v>
      </c>
    </row>
    <row r="39" spans="1:47" x14ac:dyDescent="0.25">
      <c r="D39" s="1" t="s">
        <v>160</v>
      </c>
      <c r="E39">
        <f>IF(AND(C6&gt;0,(B6+C6=0)),1,0)</f>
        <v>0</v>
      </c>
      <c r="F39">
        <f>C6-E39</f>
        <v>0</v>
      </c>
      <c r="G39">
        <f>IF(A6&gt;0,1,0)</f>
        <v>0</v>
      </c>
      <c r="H39">
        <f>A6-G39</f>
        <v>0</v>
      </c>
      <c r="I39">
        <f>IF(AND(A6=0,B6&gt;0),1,0)</f>
        <v>0</v>
      </c>
      <c r="J39">
        <f>B6-I39</f>
        <v>0</v>
      </c>
      <c r="K39">
        <f>IF(AND(C6+D6&gt;0,A6+B6=0),1,0)</f>
        <v>0</v>
      </c>
      <c r="M39">
        <f>IF(A6&gt;0,1,0)</f>
        <v>0</v>
      </c>
      <c r="N39">
        <f>IF(B6&gt;0,1,0)</f>
        <v>0</v>
      </c>
      <c r="O39">
        <f>IF(C6&gt;0,1,0)</f>
        <v>0</v>
      </c>
      <c r="P39">
        <f>IF(A6+B6&gt;0,1,0)</f>
        <v>0</v>
      </c>
      <c r="Q39">
        <f>IF(A6+B6+C6&gt;0,1,0)</f>
        <v>0</v>
      </c>
      <c r="T39">
        <f>P39</f>
        <v>0</v>
      </c>
      <c r="U39">
        <f>Q39</f>
        <v>0</v>
      </c>
      <c r="V39">
        <f>IF(B6+C6&gt;0,1,0)</f>
        <v>0</v>
      </c>
      <c r="W39">
        <f>IF(A6+B6&gt;1,1,0)</f>
        <v>0</v>
      </c>
      <c r="X39">
        <f>IF(A6+B6+D6&gt;0,1,0)</f>
        <v>0</v>
      </c>
      <c r="Y39">
        <f>O39</f>
        <v>0</v>
      </c>
      <c r="Z39">
        <f>IF(D6&gt;0,1,0)</f>
        <v>0</v>
      </c>
      <c r="AA39">
        <f>IF(D6&gt;1,1,0)</f>
        <v>0</v>
      </c>
      <c r="AB39">
        <f>IF(AU38=1,1,0)</f>
        <v>0</v>
      </c>
      <c r="AC39">
        <f>AB39</f>
        <v>0</v>
      </c>
      <c r="AD39">
        <f>IF(AU39=1,1,0)</f>
        <v>0</v>
      </c>
      <c r="AE39">
        <f>AD39</f>
        <v>0</v>
      </c>
      <c r="AF39">
        <f>IF(SUM(cp!F9:H9)=1,1,0)</f>
        <v>0</v>
      </c>
      <c r="AG39">
        <f>IF(AND(E6&gt;0,AF39=0),1,0)</f>
        <v>0</v>
      </c>
      <c r="AH39">
        <f>A6</f>
        <v>0</v>
      </c>
      <c r="AI39">
        <f>B6</f>
        <v>0</v>
      </c>
      <c r="AJ39">
        <f>C6</f>
        <v>0</v>
      </c>
      <c r="AK39">
        <f>D6</f>
        <v>0</v>
      </c>
      <c r="AM39">
        <f>IF(AND(OR(E6=1,E6=2),C6+D6&gt;0),1,0)</f>
        <v>0</v>
      </c>
      <c r="AN39">
        <f>IF(AND(OR(E6=1,E6=2),C6+D6=0),1,0)</f>
        <v>0</v>
      </c>
      <c r="AO39">
        <f>IF(AND(E6&gt;2,C6+D6&gt;0),1,0)</f>
        <v>0</v>
      </c>
      <c r="AP39">
        <f>IF(AND(E6&gt;2,C6+D6=0),1,0)</f>
        <v>0</v>
      </c>
      <c r="AT39" t="s">
        <v>143</v>
      </c>
      <c r="AU39">
        <f>IF(OR(L9=1,AND(K9=1,D6&gt;0)),1,0)</f>
        <v>0</v>
      </c>
    </row>
    <row r="40" spans="1:47" x14ac:dyDescent="0.25">
      <c r="D40" s="1" t="s">
        <v>153</v>
      </c>
      <c r="E40">
        <f>'2023 components'!R16</f>
        <v>97.808191506804391</v>
      </c>
      <c r="F40">
        <f>'2023 components'!S16</f>
        <v>97.808191506804391</v>
      </c>
      <c r="G40">
        <f>'2023 components'!T16</f>
        <v>286.44531759360001</v>
      </c>
      <c r="H40">
        <f>'2023 components'!U16</f>
        <v>286.44531759360001</v>
      </c>
      <c r="I40">
        <f>'2023 components'!V16</f>
        <v>149.5269997794</v>
      </c>
      <c r="J40">
        <f>'2023 components'!W16</f>
        <v>149.5269997794</v>
      </c>
      <c r="K40">
        <f>'2023 components'!X12</f>
        <v>0</v>
      </c>
      <c r="M40">
        <f>'2023 components'!Z14</f>
        <v>0.37155333390804135</v>
      </c>
      <c r="N40">
        <f>'2023 components'!AA14</f>
        <v>0.20981061908861412</v>
      </c>
      <c r="O40">
        <f>'2023 components'!AB14</f>
        <v>2.765499223273549E-2</v>
      </c>
      <c r="P40">
        <f>'2023 components'!AC14</f>
        <v>0.45757058606196299</v>
      </c>
      <c r="Q40">
        <f>'2023 components'!AD14</f>
        <v>0</v>
      </c>
      <c r="T40">
        <f>'2023 components'!AG17</f>
        <v>0.4427448878615744</v>
      </c>
      <c r="U40">
        <f>'2023 components'!AH17</f>
        <v>2.2037157368483872E-3</v>
      </c>
      <c r="V40">
        <f>'2023 components'!AI17</f>
        <v>4.1756156794292863E-2</v>
      </c>
      <c r="W40">
        <f>'2023 components'!AJ17</f>
        <v>1.0010745187572745</v>
      </c>
      <c r="X40">
        <f>'2023 components'!AK21</f>
        <v>1.7708063721874043</v>
      </c>
      <c r="Y40">
        <f>'2023 components'!AL21</f>
        <v>0</v>
      </c>
      <c r="Z40">
        <f>'2023 components'!AM21</f>
        <v>0</v>
      </c>
      <c r="AA40">
        <f>'2023 components'!AN21</f>
        <v>0</v>
      </c>
      <c r="AB40">
        <f>'2023 components'!AO18</f>
        <v>47.585682423790196</v>
      </c>
      <c r="AC40">
        <f>'2023 components'!AP18</f>
        <v>0.15373698674784678</v>
      </c>
      <c r="AD40">
        <f>'2023 components'!AQ18</f>
        <v>40.949750209232455</v>
      </c>
      <c r="AE40">
        <f>'2023 components'!AR18</f>
        <v>0.28419018572091292</v>
      </c>
      <c r="AF40">
        <f>'2023 components'!AS18</f>
        <v>157.17560741575514</v>
      </c>
      <c r="AG40">
        <f>'2023 components'!AT18</f>
        <v>161.25115699804385</v>
      </c>
      <c r="AH40">
        <f>'2023 components'!AU18</f>
        <v>20.911062685354459</v>
      </c>
      <c r="AI40">
        <f>'2023 components'!AV18</f>
        <v>22.813034342203263</v>
      </c>
      <c r="AJ40">
        <f>'2023 components'!AW18</f>
        <v>34.309868603155259</v>
      </c>
      <c r="AK40">
        <f>'2023 components'!AX18</f>
        <v>14.47198545602275</v>
      </c>
      <c r="AM40">
        <f>'2023 components'!AZ21</f>
        <v>20.245142765795233</v>
      </c>
      <c r="AN40">
        <f>'2023 components'!BA21</f>
        <v>8.1296785617668021</v>
      </c>
      <c r="AO40">
        <f>'2023 components'!BB21</f>
        <v>24.321346007230513</v>
      </c>
      <c r="AP40">
        <f>'2023 components'!BC21</f>
        <v>10.284878384692947</v>
      </c>
    </row>
    <row r="41" spans="1:47" x14ac:dyDescent="0.25">
      <c r="D41" s="1" t="s">
        <v>159</v>
      </c>
      <c r="E41" s="1">
        <f>E39*E40</f>
        <v>0</v>
      </c>
      <c r="F41" s="1">
        <f t="shared" ref="F41:AP41" si="2">F39*F40</f>
        <v>0</v>
      </c>
      <c r="G41" s="1">
        <f t="shared" si="2"/>
        <v>0</v>
      </c>
      <c r="H41" s="1">
        <f t="shared" si="2"/>
        <v>0</v>
      </c>
      <c r="I41" s="1">
        <f t="shared" si="2"/>
        <v>0</v>
      </c>
      <c r="J41" s="1">
        <f t="shared" si="2"/>
        <v>0</v>
      </c>
      <c r="K41" s="1">
        <f t="shared" si="2"/>
        <v>0</v>
      </c>
      <c r="L41" s="1">
        <f t="shared" si="2"/>
        <v>0</v>
      </c>
      <c r="M41" s="1">
        <f t="shared" si="2"/>
        <v>0</v>
      </c>
      <c r="N41" s="1">
        <f t="shared" si="2"/>
        <v>0</v>
      </c>
      <c r="O41" s="1">
        <f t="shared" si="2"/>
        <v>0</v>
      </c>
      <c r="P41" s="1">
        <f t="shared" si="2"/>
        <v>0</v>
      </c>
      <c r="Q41" s="1">
        <f t="shared" si="2"/>
        <v>0</v>
      </c>
      <c r="R41" s="1">
        <f t="shared" si="2"/>
        <v>0</v>
      </c>
      <c r="S41" s="1">
        <f t="shared" si="2"/>
        <v>0</v>
      </c>
      <c r="T41" s="1">
        <f t="shared" si="2"/>
        <v>0</v>
      </c>
      <c r="U41" s="1">
        <f t="shared" si="2"/>
        <v>0</v>
      </c>
      <c r="V41" s="1">
        <f t="shared" si="2"/>
        <v>0</v>
      </c>
      <c r="W41" s="1">
        <f t="shared" si="2"/>
        <v>0</v>
      </c>
      <c r="X41" s="1">
        <f t="shared" si="2"/>
        <v>0</v>
      </c>
      <c r="Y41" s="1">
        <f t="shared" si="2"/>
        <v>0</v>
      </c>
      <c r="Z41" s="1">
        <f t="shared" si="2"/>
        <v>0</v>
      </c>
      <c r="AA41" s="1">
        <f t="shared" si="2"/>
        <v>0</v>
      </c>
      <c r="AB41" s="1">
        <f t="shared" si="2"/>
        <v>0</v>
      </c>
      <c r="AC41" s="1">
        <f t="shared" si="2"/>
        <v>0</v>
      </c>
      <c r="AD41" s="1">
        <f t="shared" si="2"/>
        <v>0</v>
      </c>
      <c r="AE41" s="1">
        <f t="shared" si="2"/>
        <v>0</v>
      </c>
      <c r="AF41" s="1">
        <f t="shared" si="2"/>
        <v>0</v>
      </c>
      <c r="AG41" s="1">
        <f t="shared" si="2"/>
        <v>0</v>
      </c>
      <c r="AH41" s="1">
        <f t="shared" si="2"/>
        <v>0</v>
      </c>
      <c r="AI41" s="1">
        <f t="shared" si="2"/>
        <v>0</v>
      </c>
      <c r="AJ41" s="1">
        <f t="shared" si="2"/>
        <v>0</v>
      </c>
      <c r="AK41" s="1">
        <f t="shared" si="2"/>
        <v>0</v>
      </c>
      <c r="AL41" s="1">
        <f t="shared" si="2"/>
        <v>0</v>
      </c>
      <c r="AM41" s="1">
        <f t="shared" si="2"/>
        <v>0</v>
      </c>
      <c r="AN41" s="1">
        <f t="shared" si="2"/>
        <v>0</v>
      </c>
      <c r="AO41" s="1">
        <f t="shared" si="2"/>
        <v>0</v>
      </c>
      <c r="AP41" s="1">
        <f t="shared" si="2"/>
        <v>0</v>
      </c>
    </row>
    <row r="42" spans="1:47" x14ac:dyDescent="0.25">
      <c r="D42" s="1" t="s">
        <v>87</v>
      </c>
      <c r="E42" t="s">
        <v>76</v>
      </c>
      <c r="F42" t="s">
        <v>76</v>
      </c>
      <c r="G42" t="s">
        <v>76</v>
      </c>
      <c r="H42" t="s">
        <v>76</v>
      </c>
      <c r="I42" t="s">
        <v>76</v>
      </c>
      <c r="J42" t="s">
        <v>76</v>
      </c>
      <c r="K42" t="s">
        <v>72</v>
      </c>
      <c r="M42" t="s">
        <v>7</v>
      </c>
      <c r="N42" t="s">
        <v>7</v>
      </c>
      <c r="O42" t="s">
        <v>7</v>
      </c>
      <c r="P42" t="s">
        <v>7</v>
      </c>
      <c r="Q42" t="s">
        <v>7</v>
      </c>
      <c r="T42" t="s">
        <v>154</v>
      </c>
      <c r="U42" t="s">
        <v>154</v>
      </c>
      <c r="V42" t="s">
        <v>154</v>
      </c>
      <c r="W42" t="s">
        <v>154</v>
      </c>
      <c r="X42" t="s">
        <v>155</v>
      </c>
      <c r="Y42" t="s">
        <v>155</v>
      </c>
      <c r="Z42" t="s">
        <v>155</v>
      </c>
      <c r="AA42" t="s">
        <v>155</v>
      </c>
      <c r="AB42" t="s">
        <v>10</v>
      </c>
      <c r="AC42" t="s">
        <v>10</v>
      </c>
      <c r="AD42" t="s">
        <v>10</v>
      </c>
      <c r="AE42" t="s">
        <v>10</v>
      </c>
      <c r="AF42" t="s">
        <v>10</v>
      </c>
      <c r="AG42" t="s">
        <v>10</v>
      </c>
      <c r="AH42" t="s">
        <v>10</v>
      </c>
      <c r="AI42" t="s">
        <v>10</v>
      </c>
      <c r="AJ42" t="s">
        <v>10</v>
      </c>
      <c r="AK42" t="s">
        <v>10</v>
      </c>
      <c r="AM42" t="s">
        <v>155</v>
      </c>
      <c r="AN42" t="s">
        <v>155</v>
      </c>
      <c r="AO42" t="s">
        <v>155</v>
      </c>
      <c r="AP42" t="s">
        <v>155</v>
      </c>
    </row>
    <row r="44" spans="1:47" x14ac:dyDescent="0.25">
      <c r="AC44" t="s">
        <v>156</v>
      </c>
    </row>
    <row r="45" spans="1:47" x14ac:dyDescent="0.25">
      <c r="AC45" t="s">
        <v>157</v>
      </c>
      <c r="AD45">
        <f>AB41+AD41</f>
        <v>0</v>
      </c>
    </row>
    <row r="46" spans="1:47" x14ac:dyDescent="0.25">
      <c r="AC46" t="s">
        <v>11</v>
      </c>
      <c r="AD46">
        <f>SUM(AF41:AK41)</f>
        <v>0</v>
      </c>
    </row>
    <row r="47" spans="1:47" x14ac:dyDescent="0.25">
      <c r="AC47" t="s">
        <v>158</v>
      </c>
      <c r="AD47">
        <f>SUM(AC41,AE41)*AD46</f>
        <v>0</v>
      </c>
    </row>
    <row r="48" spans="1:47" x14ac:dyDescent="0.25">
      <c r="AC48" t="s">
        <v>146</v>
      </c>
      <c r="AD48">
        <f>AD45+AD47</f>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03CCF-05A8-4399-A209-1B2E7B240BB6}">
  <dimension ref="A1:AW48"/>
  <sheetViews>
    <sheetView topLeftCell="A19" zoomScaleNormal="100" workbookViewId="0">
      <pane xSplit="1" topLeftCell="W1" activePane="topRight" state="frozen"/>
      <selection activeCell="B2" sqref="B2:L24"/>
      <selection pane="topRight" activeCell="B2" sqref="B2:L24"/>
    </sheetView>
  </sheetViews>
  <sheetFormatPr defaultColWidth="8.85546875" defaultRowHeight="15" x14ac:dyDescent="0.25"/>
  <cols>
    <col min="1" max="1" width="15.42578125" customWidth="1"/>
    <col min="2" max="2" width="14" customWidth="1"/>
    <col min="4" max="4" width="11.85546875" customWidth="1"/>
    <col min="5" max="5" width="11" customWidth="1"/>
    <col min="35" max="35" width="11" customWidth="1"/>
    <col min="36" max="36" width="11.42578125" customWidth="1"/>
    <col min="37" max="37" width="14.140625" customWidth="1"/>
  </cols>
  <sheetData>
    <row r="1" spans="1:12" x14ac:dyDescent="0.25">
      <c r="A1" s="1" t="s">
        <v>141</v>
      </c>
    </row>
    <row r="2" spans="1:12" x14ac:dyDescent="0.25">
      <c r="A2" t="s">
        <v>88</v>
      </c>
      <c r="B2">
        <v>1</v>
      </c>
    </row>
    <row r="3" spans="1:12" x14ac:dyDescent="0.25">
      <c r="A3" t="s">
        <v>89</v>
      </c>
      <c r="B3">
        <v>0</v>
      </c>
    </row>
    <row r="5" spans="1:12" x14ac:dyDescent="0.25">
      <c r="A5" t="s">
        <v>55</v>
      </c>
      <c r="B5" t="s">
        <v>56</v>
      </c>
      <c r="C5" t="s">
        <v>57</v>
      </c>
      <c r="D5" t="s">
        <v>58</v>
      </c>
      <c r="E5" t="s">
        <v>90</v>
      </c>
    </row>
    <row r="6" spans="1:12" x14ac:dyDescent="0.25">
      <c r="A6">
        <v>1</v>
      </c>
      <c r="B6">
        <v>0</v>
      </c>
      <c r="C6">
        <v>0</v>
      </c>
      <c r="D6">
        <v>0</v>
      </c>
      <c r="E6">
        <f>SUM(A6:D6)</f>
        <v>1</v>
      </c>
    </row>
    <row r="8" spans="1:12" x14ac:dyDescent="0.25">
      <c r="A8" s="1" t="s">
        <v>87</v>
      </c>
      <c r="B8" t="s">
        <v>0</v>
      </c>
      <c r="C8" t="s">
        <v>1</v>
      </c>
      <c r="D8" t="s">
        <v>2</v>
      </c>
      <c r="E8" t="s">
        <v>3</v>
      </c>
      <c r="F8" t="s">
        <v>91</v>
      </c>
      <c r="G8" t="s">
        <v>92</v>
      </c>
      <c r="H8" t="s">
        <v>93</v>
      </c>
      <c r="I8" t="s">
        <v>94</v>
      </c>
      <c r="J8" t="s">
        <v>95</v>
      </c>
      <c r="K8" t="s">
        <v>96</v>
      </c>
      <c r="L8" t="s">
        <v>97</v>
      </c>
    </row>
    <row r="9" spans="1:12" x14ac:dyDescent="0.25">
      <c r="B9">
        <f>IF(AND(B2=1,E6=0),1,0)</f>
        <v>0</v>
      </c>
      <c r="C9">
        <f>IF(AND(B2=2,E6=0),1,0)</f>
        <v>0</v>
      </c>
      <c r="D9">
        <f>IF(AND(B3=1,E6=0),1,0)</f>
        <v>0</v>
      </c>
      <c r="E9">
        <f>IF(AND(B3=2,E6=0),1,0)</f>
        <v>0</v>
      </c>
      <c r="F9">
        <f>IF(AND(B2=1,E6=1),1,0)</f>
        <v>1</v>
      </c>
      <c r="G9">
        <f>IF(AND(B2=1,E6=2),1,0)</f>
        <v>0</v>
      </c>
      <c r="H9">
        <f>IF(AND(B2=1,E6=3),1,0)</f>
        <v>0</v>
      </c>
      <c r="I9">
        <f>IF(AND(B2=2,E6=1),1,0)</f>
        <v>0</v>
      </c>
      <c r="J9">
        <f>IF(AND(B2=2,E6=2),1,0)</f>
        <v>0</v>
      </c>
      <c r="K9">
        <f>IF(AND(B2=2,E6=3),1,0)</f>
        <v>0</v>
      </c>
      <c r="L9">
        <f>IF(AND(B2=2,E6=4),1,0)</f>
        <v>0</v>
      </c>
    </row>
    <row r="11" spans="1:12" x14ac:dyDescent="0.25">
      <c r="A11" s="1"/>
      <c r="B11" s="1" t="s">
        <v>146</v>
      </c>
      <c r="C11" s="10" t="s">
        <v>147</v>
      </c>
      <c r="D11" s="10" t="s">
        <v>148</v>
      </c>
      <c r="E11" s="10" t="s">
        <v>98</v>
      </c>
    </row>
    <row r="12" spans="1:12" x14ac:dyDescent="0.25">
      <c r="A12" s="9" t="s">
        <v>64</v>
      </c>
      <c r="C12" s="10"/>
      <c r="D12" s="10"/>
      <c r="E12" s="10"/>
    </row>
    <row r="13" spans="1:12" x14ac:dyDescent="0.25">
      <c r="A13" s="8" t="s">
        <v>65</v>
      </c>
      <c r="B13">
        <f>C13+D13+E13</f>
        <v>74.627726876841791</v>
      </c>
      <c r="C13" s="10">
        <f>SUM(B$9*'2023 components'!C5,C$9*'2023 components'!D5,D$9*'2023 components'!E5,E$9*'2023 components'!F5,F$9*'2023 components'!G5,G$9*'2023 components'!H5,H$9*'2023 components'!I5,I$9*'2023 components'!J5,J$9*'2023 components'!K5,K$9*'2023 components'!L5,L$9*'2023 components'!M5)</f>
        <v>51.453010530351605</v>
      </c>
      <c r="D13" s="10">
        <f>SUM(A$6*'2023 components'!N5,B$6*'2023 components'!O5,C$6*'2023 components'!P5,D$6*'2023 components'!Q5)</f>
        <v>23.174716346490182</v>
      </c>
      <c r="E13" s="10"/>
    </row>
    <row r="14" spans="1:12" x14ac:dyDescent="0.25">
      <c r="A14" s="8" t="s">
        <v>66</v>
      </c>
      <c r="B14">
        <f t="shared" ref="B14:B29" si="0">C14+D14+E14</f>
        <v>5.8826531201912449</v>
      </c>
      <c r="C14" s="10">
        <f>SUM(B$9*'2023 components'!C6,C$9*'2023 components'!D6,D$9*'2023 components'!E6,E$9*'2023 components'!F6,F$9*'2023 components'!G6,G$9*'2023 components'!H6,H$9*'2023 components'!I6,I$9*'2023 components'!J6,J$9*'2023 components'!K6,K$9*'2023 components'!L6,L$9*'2023 components'!M6)</f>
        <v>5.8826531201912449</v>
      </c>
      <c r="D14" s="10">
        <f>SUM(A$6*'2023 components'!N6,B$6*'2023 components'!O6,C$6*'2023 components'!P6,D$6*'2023 components'!Q6)</f>
        <v>0</v>
      </c>
      <c r="E14" s="10"/>
    </row>
    <row r="15" spans="1:12" x14ac:dyDescent="0.25">
      <c r="A15" s="8" t="s">
        <v>67</v>
      </c>
      <c r="B15">
        <f t="shared" si="0"/>
        <v>0</v>
      </c>
      <c r="C15" s="10">
        <f>SUM(B$9*'2023 components'!C7,C$9*'2023 components'!D7,D$9*'2023 components'!E7,E$9*'2023 components'!F7,F$9*'2023 components'!G7,G$9*'2023 components'!H7,H$9*'2023 components'!I7,I$9*'2023 components'!J7,J$9*'2023 components'!K7,K$9*'2023 components'!L7,L$9*'2023 components'!M7)</f>
        <v>0</v>
      </c>
      <c r="D15" s="10">
        <f>SUM(A$6*'2023 components'!N7,B$6*'2023 components'!O7,C$6*'2023 components'!P7,D$6*'2023 components'!Q7)</f>
        <v>0</v>
      </c>
      <c r="E15" s="10"/>
    </row>
    <row r="16" spans="1:12" x14ac:dyDescent="0.25">
      <c r="A16" s="8" t="s">
        <v>68</v>
      </c>
      <c r="B16">
        <f t="shared" si="0"/>
        <v>26.836314578349409</v>
      </c>
      <c r="C16" s="10">
        <f>SUM(B$9*'2023 components'!C8,C$9*'2023 components'!D8,D$9*'2023 components'!E8,E$9*'2023 components'!F8,F$9*'2023 components'!G8,G$9*'2023 components'!H8,H$9*'2023 components'!I8,I$9*'2023 components'!J8,J$9*'2023 components'!K8,K$9*'2023 components'!L8,L$9*'2023 components'!M8)</f>
        <v>15.697127222017148</v>
      </c>
      <c r="D16" s="10">
        <f>SUM(A$6*'2023 components'!N8,B$6*'2023 components'!O8,C$6*'2023 components'!P8,D$6*'2023 components'!Q8)</f>
        <v>11.139187356332263</v>
      </c>
      <c r="E16" s="10"/>
    </row>
    <row r="17" spans="1:11" x14ac:dyDescent="0.25">
      <c r="A17" s="8" t="s">
        <v>69</v>
      </c>
      <c r="B17">
        <f t="shared" si="0"/>
        <v>11.922694497153699</v>
      </c>
      <c r="C17" s="10">
        <f>SUM(B$9*'2023 components'!C9,C$9*'2023 components'!D9,D$9*'2023 components'!E9,E$9*'2023 components'!F9,F$9*'2023 components'!G9,G$9*'2023 components'!H9,H$9*'2023 components'!I9,I$9*'2023 components'!J9,J$9*'2023 components'!K9,K$9*'2023 components'!L9,L$9*'2023 components'!M9)</f>
        <v>11.922694497153699</v>
      </c>
      <c r="D17" s="10">
        <f>SUM(A$6*'2023 components'!N9,B$6*'2023 components'!O9,C$6*'2023 components'!P9,D$6*'2023 components'!Q9)</f>
        <v>0</v>
      </c>
      <c r="E17" s="10"/>
    </row>
    <row r="18" spans="1:11" x14ac:dyDescent="0.25">
      <c r="A18" s="8" t="s">
        <v>70</v>
      </c>
      <c r="B18">
        <f t="shared" si="0"/>
        <v>24.130633333333332</v>
      </c>
      <c r="C18" s="10">
        <f>SUM(B$9*'2023 components'!C10,C$9*'2023 components'!D10,D$9*'2023 components'!E10,E$9*'2023 components'!F10,F$9*'2023 components'!G10,G$9*'2023 components'!H10,H$9*'2023 components'!I10,I$9*'2023 components'!J10,J$9*'2023 components'!K10,K$9*'2023 components'!L10,L$9*'2023 components'!M10)</f>
        <v>24.130633333333332</v>
      </c>
      <c r="D18" s="10">
        <f>SUM(A$6*'2023 components'!N10,B$6*'2023 components'!O10,C$6*'2023 components'!P10,D$6*'2023 components'!Q10)</f>
        <v>0</v>
      </c>
      <c r="E18" s="10"/>
    </row>
    <row r="19" spans="1:11" x14ac:dyDescent="0.25">
      <c r="A19" s="8" t="s">
        <v>71</v>
      </c>
      <c r="B19">
        <f t="shared" si="0"/>
        <v>1.678161178939767</v>
      </c>
      <c r="C19" s="10">
        <f>SUM(B$9*'2023 components'!C11,C$9*'2023 components'!D11,D$9*'2023 components'!E11,E$9*'2023 components'!F11,F$9*'2023 components'!G11,G$9*'2023 components'!H11,H$9*'2023 components'!I11,I$9*'2023 components'!J11,J$9*'2023 components'!K11,K$9*'2023 components'!L11,L$9*'2023 components'!M11)</f>
        <v>1.678161178939767</v>
      </c>
      <c r="D19" s="10">
        <f>SUM(A$6*'2023 components'!N11,B$6*'2023 components'!O11,C$6*'2023 components'!P11,D$6*'2023 components'!Q11)</f>
        <v>0</v>
      </c>
      <c r="E19" s="10"/>
    </row>
    <row r="20" spans="1:11" x14ac:dyDescent="0.25">
      <c r="A20" s="8" t="s">
        <v>72</v>
      </c>
      <c r="B20">
        <f t="shared" si="0"/>
        <v>49.607166469863024</v>
      </c>
      <c r="C20" s="10">
        <f>SUM(B$9*'2023 components'!C12,C$9*'2023 components'!D12,D$9*'2023 components'!E12,E$9*'2023 components'!F12,F$9*'2023 components'!G12,G$9*'2023 components'!H12,H$9*'2023 components'!I12,I$9*'2023 components'!J12,J$9*'2023 components'!K12,K$9*'2023 components'!L12,L$9*'2023 components'!M12)</f>
        <v>49.607166469863024</v>
      </c>
      <c r="D20" s="10">
        <f>SUM(A$6*'2023 components'!N12,B$6*'2023 components'!O12,C$6*'2023 components'!P12,D$6*'2023 components'!Q12)</f>
        <v>0</v>
      </c>
      <c r="E20" s="10">
        <f>K41</f>
        <v>0</v>
      </c>
    </row>
    <row r="21" spans="1:11" x14ac:dyDescent="0.25">
      <c r="A21" s="8" t="s">
        <v>73</v>
      </c>
      <c r="B21">
        <f t="shared" si="0"/>
        <v>2.1941982272361193</v>
      </c>
      <c r="C21" s="10">
        <f>SUM(B$9*'2023 components'!C13,C$9*'2023 components'!D13,D$9*'2023 components'!E13,E$9*'2023 components'!F13,F$9*'2023 components'!G13,G$9*'2023 components'!H13,H$9*'2023 components'!I13,I$9*'2023 components'!J13,J$9*'2023 components'!K13,K$9*'2023 components'!L13,L$9*'2023 components'!M13)</f>
        <v>2.1941982272361193</v>
      </c>
      <c r="D21" s="10">
        <f>SUM(A$6*'2023 components'!N13,B$6*'2023 components'!O13,C$6*'2023 components'!P13,D$6*'2023 components'!Q13)</f>
        <v>0</v>
      </c>
      <c r="E21" s="10"/>
    </row>
    <row r="22" spans="1:11" x14ac:dyDescent="0.25">
      <c r="A22" s="8" t="s">
        <v>74</v>
      </c>
      <c r="B22">
        <f t="shared" si="0"/>
        <v>30.127582074373233</v>
      </c>
      <c r="C22" s="10">
        <f>SUM(B$9*'2023 components'!C14,C$9*'2023 components'!D14,D$9*'2023 components'!E14,E$9*'2023 components'!F14,F$9*'2023 components'!G14,G$9*'2023 components'!H14,H$9*'2023 components'!I14,I$9*'2023 components'!J14,J$9*'2023 components'!K14,K$9*'2023 components'!L14,L$9*'2023 components'!M14)</f>
        <v>25.175778218084563</v>
      </c>
      <c r="D22" s="10">
        <f>SUM(A$6*'2023 components'!N14,B$6*'2023 components'!O14,C$6*'2023 components'!P14,D$6*'2023 components'!Q14)</f>
        <v>4.122679936318665</v>
      </c>
      <c r="E22" s="10">
        <f>SUM(M41:Q41)</f>
        <v>0.82912391997000434</v>
      </c>
    </row>
    <row r="23" spans="1:11" x14ac:dyDescent="0.25">
      <c r="A23" s="8" t="s">
        <v>75</v>
      </c>
      <c r="B23">
        <f t="shared" si="0"/>
        <v>15.01990478016584</v>
      </c>
      <c r="C23" s="10">
        <f>SUM(B$9*'2023 components'!C15,C$9*'2023 components'!D15,D$9*'2023 components'!E15,E$9*'2023 components'!F15,F$9*'2023 components'!G15,G$9*'2023 components'!H15,H$9*'2023 components'!I15,I$9*'2023 components'!J15,J$9*'2023 components'!K15,K$9*'2023 components'!L15,L$9*'2023 components'!M15)</f>
        <v>15.01990478016584</v>
      </c>
      <c r="D23" s="10">
        <f>SUM(A$6*'2023 components'!N15,B$6*'2023 components'!O15,C$6*'2023 components'!P15,D$6*'2023 components'!Q15)</f>
        <v>0</v>
      </c>
      <c r="E23" s="10"/>
    </row>
    <row r="24" spans="1:11" x14ac:dyDescent="0.25">
      <c r="A24" s="8" t="s">
        <v>76</v>
      </c>
      <c r="B24">
        <f t="shared" si="0"/>
        <v>286.44531759360001</v>
      </c>
      <c r="C24" s="10">
        <f>SUM(B$9*'2023 components'!C16,C$9*'2023 components'!D16,D$9*'2023 components'!E16,E$9*'2023 components'!F16,F$9*'2023 components'!G16,G$9*'2023 components'!H16,H$9*'2023 components'!I16,I$9*'2023 components'!J16,J$9*'2023 components'!K16,K$9*'2023 components'!L16,L$9*'2023 components'!M16)</f>
        <v>0</v>
      </c>
      <c r="D24" s="10">
        <f>SUM(A$6*'2023 components'!N16,B$6*'2023 components'!O16,C$6*'2023 components'!P16,D$6*'2023 components'!Q16)</f>
        <v>0</v>
      </c>
      <c r="E24" s="10">
        <f>SUM(E41:J41)</f>
        <v>286.44531759360001</v>
      </c>
    </row>
    <row r="25" spans="1:11" x14ac:dyDescent="0.25">
      <c r="A25" s="8" t="s">
        <v>77</v>
      </c>
      <c r="B25">
        <f t="shared" si="0"/>
        <v>38.684664358299173</v>
      </c>
      <c r="C25" s="10">
        <f>SUM(B$9*'2023 components'!C17,C$9*'2023 components'!D17,D$9*'2023 components'!E17,E$9*'2023 components'!F17,F$9*'2023 components'!G17,G$9*'2023 components'!H17,H$9*'2023 components'!I17,I$9*'2023 components'!J17,J$9*'2023 components'!K17,K$9*'2023 components'!L17,L$9*'2023 components'!M17)</f>
        <v>24.160489986842219</v>
      </c>
      <c r="D25" s="10">
        <f>SUM(A$6*'2023 components'!N17,B$6*'2023 components'!O17,C$6*'2023 components'!P17,D$6*'2023 components'!Q17)</f>
        <v>14.079225767858535</v>
      </c>
      <c r="E25" s="10">
        <f>SUM(T41:W41)</f>
        <v>0.44494860359842281</v>
      </c>
    </row>
    <row r="26" spans="1:11" x14ac:dyDescent="0.25">
      <c r="A26" s="8" t="s">
        <v>10</v>
      </c>
      <c r="B26">
        <f t="shared" si="0"/>
        <v>74.964190465092642</v>
      </c>
      <c r="C26" s="10">
        <f>SUM(B$9*'2023 components'!C18,C$9*'2023 components'!D18,D$9*'2023 components'!E18,E$9*'2023 components'!F18,F$9*'2023 components'!G18,G$9*'2023 components'!H18,H$9*'2023 components'!I18,I$9*'2023 components'!J18,J$9*'2023 components'!K18,K$9*'2023 components'!L18,L$9*'2023 components'!M18)</f>
        <v>0</v>
      </c>
      <c r="D26" s="10">
        <f>SUM(A$6*'2023 components'!N18,B$6*'2023 components'!O18,C$6*'2023 components'!P18,D$6*'2023 components'!Q18)</f>
        <v>0</v>
      </c>
      <c r="E26" s="10">
        <f>AD48</f>
        <v>74.964190465092642</v>
      </c>
    </row>
    <row r="27" spans="1:11" x14ac:dyDescent="0.25">
      <c r="A27" s="8" t="s">
        <v>78</v>
      </c>
      <c r="B27">
        <f t="shared" si="0"/>
        <v>16.244970542809003</v>
      </c>
      <c r="C27">
        <f>I27+I28</f>
        <v>16.244970542809003</v>
      </c>
      <c r="D27">
        <f t="shared" ref="D27:E27" si="1">J27+J28</f>
        <v>0</v>
      </c>
      <c r="E27">
        <f t="shared" si="1"/>
        <v>0</v>
      </c>
      <c r="G27" t="s">
        <v>169</v>
      </c>
      <c r="H27">
        <f>I27+J27+K27</f>
        <v>0</v>
      </c>
      <c r="I27" s="10">
        <f>SUM(B$9*'2023 components'!C19,C$9*'2023 components'!D19,D$9*'2023 components'!E19,E$9*'2023 components'!F19,F$9*'2023 components'!G19,G$9*'2023 components'!H19,H$9*'2023 components'!I19,I$9*'2023 components'!J19,J$9*'2023 components'!K19,K$9*'2023 components'!L19,L$9*'2023 components'!M19)</f>
        <v>0</v>
      </c>
      <c r="J27" s="10">
        <f>SUM(A$6*'2023 components'!N19,B$6*'2023 components'!O19,C$6*'2023 components'!P19,D$6*'2023 components'!Q19)</f>
        <v>0</v>
      </c>
      <c r="K27" s="10"/>
    </row>
    <row r="28" spans="1:11" x14ac:dyDescent="0.25">
      <c r="A28" s="8" t="s">
        <v>79</v>
      </c>
      <c r="B28">
        <f t="shared" si="0"/>
        <v>60.817666830545448</v>
      </c>
      <c r="C28" s="10">
        <f>SUM(B$9*'2023 components'!C21,C$9*'2023 components'!D21,D$9*'2023 components'!E21,E$9*'2023 components'!F21,F$9*'2023 components'!G21,G$9*'2023 components'!H21,H$9*'2023 components'!I21,I$9*'2023 components'!J21,J$9*'2023 components'!K21,K$9*'2023 components'!L21,L$9*'2023 components'!M21)</f>
        <v>37.004339392069923</v>
      </c>
      <c r="D28" s="10">
        <f>SUM(A$6*'2023 components'!N21,B$6*'2023 components'!O21,C$6*'2023 components'!P21,D$6*'2023 components'!Q21)</f>
        <v>13.6251712716446</v>
      </c>
      <c r="E28" s="10">
        <f>SUM(X41:AA41)+SUM(AM41:AU41)</f>
        <v>10.18815616683092</v>
      </c>
      <c r="G28" t="s">
        <v>170</v>
      </c>
      <c r="H28">
        <f>I28+J28+K28</f>
        <v>16.244970542809003</v>
      </c>
      <c r="I28" s="10">
        <f>SUM(B$9*'2023 components'!C20,C$9*'2023 components'!D20,D$9*'2023 components'!E20,E$9*'2023 components'!F20,F$9*'2023 components'!G20,G$9*'2023 components'!H20,H$9*'2023 components'!I20,I$9*'2023 components'!J20,J$9*'2023 components'!K20,K$9*'2023 components'!L20,L$9*'2023 components'!M20)</f>
        <v>16.244970542809003</v>
      </c>
      <c r="J28" s="10">
        <f>SUM(A$6*'2023 components'!N20,B$6*'2023 components'!O20,C$6*'2023 components'!P20,D$6*'2023 components'!Q20)</f>
        <v>0</v>
      </c>
      <c r="K28" s="10"/>
    </row>
    <row r="29" spans="1:11" x14ac:dyDescent="0.25">
      <c r="A29" s="8" t="s">
        <v>80</v>
      </c>
      <c r="B29">
        <f t="shared" si="0"/>
        <v>100.39786761714036</v>
      </c>
      <c r="C29" s="10">
        <f>SUM(B$9*'2023 components'!C22,C$9*'2023 components'!D22,D$9*'2023 components'!E22,E$9*'2023 components'!F22,F$9*'2023 components'!G22,G$9*'2023 components'!H22,H$9*'2023 components'!I22,I$9*'2023 components'!J22,J$9*'2023 components'!K22,K$9*'2023 components'!L22,L$9*'2023 components'!M22)</f>
        <v>100.39786761714036</v>
      </c>
      <c r="D29" s="10">
        <f>SUM(A$6*'2023 components'!N22,B$6*'2023 components'!O22,C$6*'2023 components'!P22,D$6*'2023 components'!Q22)</f>
        <v>0</v>
      </c>
      <c r="E29" s="10"/>
    </row>
    <row r="30" spans="1:11" x14ac:dyDescent="0.25">
      <c r="E30" s="10"/>
    </row>
    <row r="33" spans="1:49" x14ac:dyDescent="0.25">
      <c r="A33" s="11" t="s">
        <v>78</v>
      </c>
      <c r="B33" s="11" t="s">
        <v>149</v>
      </c>
      <c r="C33" s="11">
        <f>SUM(B$9*'2023 components'!C17,C$9*'2023 components'!D17,D$9*'2023 components'!E17,E$9*'2023 components'!F17,F$9*'2023 components'!G17,G$9*'2023 components'!H17,H$9*'2023 components'!I17,I$9*'2023 components'!J17,J$9*'2023 components'!K17,K$9*'2023 components'!L17,L$9*'2023 components'!M17)</f>
        <v>24.160489986842219</v>
      </c>
      <c r="D33" s="10">
        <f>SUM(A$6*'2023 components'!N17,B$6*'2023 components'!O17,C$6*'2023 components'!P17,D$6*'2023 components'!Q17)</f>
        <v>14.079225767858535</v>
      </c>
    </row>
    <row r="34" spans="1:49" x14ac:dyDescent="0.25">
      <c r="A34" s="11"/>
      <c r="B34" s="11" t="s">
        <v>150</v>
      </c>
      <c r="C34" s="11">
        <f>SUM(B$9*'2023 components'!C18,C$9*'2023 components'!D18,D$9*'2023 components'!E18,E$9*'2023 components'!F18,F$9*'2023 components'!G18,G$9*'2023 components'!H18,H$9*'2023 components'!I18,I$9*'2023 components'!J18,J$9*'2023 components'!K18,K$9*'2023 components'!L18,L$9*'2023 components'!M18)</f>
        <v>0</v>
      </c>
      <c r="D34" s="10">
        <f>SUM(A$6*'2023 components'!N18,B$6*'2023 components'!O18,C$6*'2023 components'!P18,D$6*'2023 components'!Q18)</f>
        <v>0</v>
      </c>
    </row>
    <row r="35" spans="1:49" x14ac:dyDescent="0.25">
      <c r="A35" s="11"/>
      <c r="B35" s="11" t="s">
        <v>151</v>
      </c>
      <c r="C35" s="11">
        <f>C33+C34</f>
        <v>24.160489986842219</v>
      </c>
      <c r="D35" s="11">
        <f>D33+D34</f>
        <v>14.079225767858535</v>
      </c>
    </row>
    <row r="37" spans="1:49" ht="45" x14ac:dyDescent="0.25">
      <c r="E37" t="s">
        <v>28</v>
      </c>
      <c r="F37" t="s">
        <v>29</v>
      </c>
      <c r="G37" t="s">
        <v>30</v>
      </c>
      <c r="H37" t="s">
        <v>31</v>
      </c>
      <c r="I37" t="s">
        <v>32</v>
      </c>
      <c r="J37" t="s">
        <v>33</v>
      </c>
      <c r="K37" t="s">
        <v>34</v>
      </c>
      <c r="L37" t="s">
        <v>35</v>
      </c>
      <c r="M37" t="s">
        <v>36</v>
      </c>
      <c r="N37" t="s">
        <v>37</v>
      </c>
      <c r="O37" t="s">
        <v>38</v>
      </c>
      <c r="P37" t="s">
        <v>39</v>
      </c>
      <c r="Q37" t="s">
        <v>40</v>
      </c>
      <c r="R37" t="s">
        <v>41</v>
      </c>
      <c r="S37" t="s">
        <v>42</v>
      </c>
      <c r="T37" t="s">
        <v>39</v>
      </c>
      <c r="U37" t="s">
        <v>40</v>
      </c>
      <c r="V37" t="s">
        <v>99</v>
      </c>
      <c r="W37" s="3" t="s">
        <v>44</v>
      </c>
      <c r="X37" t="s">
        <v>100</v>
      </c>
      <c r="Y37" t="s">
        <v>101</v>
      </c>
      <c r="Z37" t="s">
        <v>102</v>
      </c>
      <c r="AA37" t="s">
        <v>48</v>
      </c>
      <c r="AB37" t="s">
        <v>49</v>
      </c>
      <c r="AC37" t="s">
        <v>50</v>
      </c>
      <c r="AD37" t="s">
        <v>51</v>
      </c>
      <c r="AE37" t="s">
        <v>52</v>
      </c>
      <c r="AF37" t="s">
        <v>53</v>
      </c>
      <c r="AG37" t="s">
        <v>54</v>
      </c>
      <c r="AH37" t="s">
        <v>55</v>
      </c>
      <c r="AI37" t="s">
        <v>56</v>
      </c>
      <c r="AJ37" t="s">
        <v>57</v>
      </c>
      <c r="AK37" t="s">
        <v>58</v>
      </c>
      <c r="AL37" t="s">
        <v>145</v>
      </c>
      <c r="AM37" t="s">
        <v>60</v>
      </c>
      <c r="AN37" t="s">
        <v>61</v>
      </c>
      <c r="AO37" t="s">
        <v>62</v>
      </c>
      <c r="AP37" t="s">
        <v>63</v>
      </c>
    </row>
    <row r="38" spans="1:49" ht="45" x14ac:dyDescent="0.25">
      <c r="D38" s="12" t="s">
        <v>152</v>
      </c>
      <c r="E38" t="s">
        <v>103</v>
      </c>
      <c r="F38" t="s">
        <v>104</v>
      </c>
      <c r="G38" t="s">
        <v>105</v>
      </c>
      <c r="H38" t="s">
        <v>106</v>
      </c>
      <c r="I38" t="s">
        <v>107</v>
      </c>
      <c r="J38" t="s">
        <v>108</v>
      </c>
      <c r="K38" t="s">
        <v>109</v>
      </c>
      <c r="L38" t="s">
        <v>110</v>
      </c>
      <c r="M38" t="s">
        <v>111</v>
      </c>
      <c r="N38" t="s">
        <v>112</v>
      </c>
      <c r="O38" t="s">
        <v>113</v>
      </c>
      <c r="P38" t="s">
        <v>114</v>
      </c>
      <c r="Q38" t="s">
        <v>115</v>
      </c>
      <c r="R38" t="s">
        <v>116</v>
      </c>
      <c r="S38" t="s">
        <v>117</v>
      </c>
      <c r="T38" t="s">
        <v>118</v>
      </c>
      <c r="U38" t="s">
        <v>119</v>
      </c>
      <c r="V38" t="s">
        <v>120</v>
      </c>
      <c r="W38" t="s">
        <v>121</v>
      </c>
      <c r="X38" t="s">
        <v>122</v>
      </c>
      <c r="Y38" t="s">
        <v>123</v>
      </c>
      <c r="Z38" t="s">
        <v>124</v>
      </c>
      <c r="AA38" t="s">
        <v>125</v>
      </c>
      <c r="AB38" t="s">
        <v>126</v>
      </c>
      <c r="AC38" t="s">
        <v>127</v>
      </c>
      <c r="AD38" t="s">
        <v>128</v>
      </c>
      <c r="AE38" t="s">
        <v>129</v>
      </c>
      <c r="AF38" t="s">
        <v>130</v>
      </c>
      <c r="AG38" t="s">
        <v>131</v>
      </c>
      <c r="AH38" t="s">
        <v>132</v>
      </c>
      <c r="AI38" t="s">
        <v>133</v>
      </c>
      <c r="AJ38" t="s">
        <v>134</v>
      </c>
      <c r="AK38" t="s">
        <v>135</v>
      </c>
      <c r="AL38" t="s">
        <v>136</v>
      </c>
      <c r="AM38" t="s">
        <v>137</v>
      </c>
      <c r="AN38" t="s">
        <v>138</v>
      </c>
      <c r="AO38" t="s">
        <v>139</v>
      </c>
      <c r="AP38" t="s">
        <v>140</v>
      </c>
      <c r="AQ38" t="s">
        <v>245</v>
      </c>
      <c r="AR38" t="s">
        <v>246</v>
      </c>
      <c r="AS38" t="s">
        <v>247</v>
      </c>
      <c r="AT38" t="s">
        <v>248</v>
      </c>
      <c r="AU38" t="s">
        <v>249</v>
      </c>
      <c r="AV38" t="s">
        <v>144</v>
      </c>
    </row>
    <row r="39" spans="1:49" x14ac:dyDescent="0.25">
      <c r="D39" s="1" t="s">
        <v>160</v>
      </c>
      <c r="E39">
        <f>IF(AND(C6&gt;0,(B6+C6=0)),1,0)</f>
        <v>0</v>
      </c>
      <c r="F39">
        <f>C6-E39</f>
        <v>0</v>
      </c>
      <c r="G39">
        <f>IF(A6&gt;0,1,0)</f>
        <v>1</v>
      </c>
      <c r="H39">
        <f>A6-G39</f>
        <v>0</v>
      </c>
      <c r="I39">
        <f>IF(AND(A6=0,B6&gt;0),1,0)</f>
        <v>0</v>
      </c>
      <c r="J39">
        <f>B6-I39</f>
        <v>0</v>
      </c>
      <c r="K39">
        <f>IF(AND(C6+D6&gt;0,A6+B6=0),1,0)</f>
        <v>0</v>
      </c>
      <c r="M39">
        <f>IF(A6&gt;0,1,0)</f>
        <v>1</v>
      </c>
      <c r="N39">
        <f>IF(B6&gt;0,1,0)</f>
        <v>0</v>
      </c>
      <c r="O39">
        <f>IF(C6&gt;0,1,0)</f>
        <v>0</v>
      </c>
      <c r="P39">
        <f>IF(A6+B6&gt;0,1,0)</f>
        <v>1</v>
      </c>
      <c r="Q39">
        <f>IF(A6+B6+C6&gt;0,1,0)</f>
        <v>1</v>
      </c>
      <c r="T39">
        <f>P39</f>
        <v>1</v>
      </c>
      <c r="U39">
        <f>Q39</f>
        <v>1</v>
      </c>
      <c r="V39">
        <f>IF(B6+C6&gt;0,1,0)</f>
        <v>0</v>
      </c>
      <c r="W39">
        <f>IF(A6+B6&gt;1,1,0)</f>
        <v>0</v>
      </c>
      <c r="X39">
        <f>IF(A6+B6+D6&gt;0,1,0)</f>
        <v>1</v>
      </c>
      <c r="Y39">
        <f>O39</f>
        <v>0</v>
      </c>
      <c r="Z39">
        <f>IF(D6&gt;0,1,0)</f>
        <v>0</v>
      </c>
      <c r="AA39">
        <f>IF(D6&gt;1,1,0)</f>
        <v>0</v>
      </c>
      <c r="AB39">
        <f>IF(AW39=1,1,0)</f>
        <v>1</v>
      </c>
      <c r="AC39">
        <f>AB39</f>
        <v>1</v>
      </c>
      <c r="AD39">
        <f>IF(AW40=1,1,0)</f>
        <v>0</v>
      </c>
      <c r="AE39">
        <f>AD39</f>
        <v>0</v>
      </c>
      <c r="AF39">
        <f>IF(SUM(F9:H9)=1,1,0)</f>
        <v>1</v>
      </c>
      <c r="AG39">
        <f>IF(AND(E6&gt;0,AF39=0),1,0)</f>
        <v>0</v>
      </c>
      <c r="AH39">
        <f>A6</f>
        <v>1</v>
      </c>
      <c r="AI39">
        <f>B6</f>
        <v>0</v>
      </c>
      <c r="AJ39">
        <f>C6</f>
        <v>0</v>
      </c>
      <c r="AK39">
        <f>D6</f>
        <v>0</v>
      </c>
      <c r="AM39">
        <f>IF(AND(OR(E6=1,E6=2),C6+D6&gt;0),1,0)</f>
        <v>0</v>
      </c>
      <c r="AN39">
        <f>IF(AND(OR(E6=1,E6=2),C6+D6=0),1,0)</f>
        <v>1</v>
      </c>
      <c r="AO39">
        <f>IF(AND(E6&gt;2,C6+D6&gt;0),1,0)</f>
        <v>0</v>
      </c>
      <c r="AP39">
        <f>IF(AND(E6&gt;2,C6+D6=0),1,0)</f>
        <v>0</v>
      </c>
      <c r="AQ39">
        <f>IF(AND(A6+B6&gt;0,C6+D6=0),1,0)</f>
        <v>1</v>
      </c>
      <c r="AR39">
        <f>IF(AND(E6=2,C6+D6=2),1,0)</f>
        <v>0</v>
      </c>
      <c r="AS39">
        <f>IF(AND(E6=3,C6+D6=3),1,0)</f>
        <v>0</v>
      </c>
      <c r="AT39">
        <f>IF(AND(E6=4,C6+D6=4),1,0)</f>
        <v>0</v>
      </c>
      <c r="AU39">
        <f>IF(AND(E6&gt;2,C6+D6&gt;2),1,0)</f>
        <v>0</v>
      </c>
      <c r="AV39" t="s">
        <v>142</v>
      </c>
      <c r="AW39">
        <f>IF(AND(E6&gt;0,AW40=0),1,0)</f>
        <v>1</v>
      </c>
    </row>
    <row r="40" spans="1:49" x14ac:dyDescent="0.25">
      <c r="D40" s="1" t="s">
        <v>153</v>
      </c>
      <c r="E40">
        <f>'2023 components'!R16</f>
        <v>97.808191506804391</v>
      </c>
      <c r="F40">
        <f>'2023 components'!S16</f>
        <v>97.808191506804391</v>
      </c>
      <c r="G40">
        <f>'2023 components'!T16</f>
        <v>286.44531759360001</v>
      </c>
      <c r="H40">
        <f>'2023 components'!U16</f>
        <v>286.44531759360001</v>
      </c>
      <c r="I40">
        <f>'2023 components'!V16</f>
        <v>149.5269997794</v>
      </c>
      <c r="J40">
        <f>'2023 components'!W16</f>
        <v>149.5269997794</v>
      </c>
      <c r="K40">
        <f>'2023 components'!X12</f>
        <v>0</v>
      </c>
      <c r="M40">
        <f>'2023 components'!Z14</f>
        <v>0.37155333390804135</v>
      </c>
      <c r="N40">
        <f>'2023 components'!AA14</f>
        <v>0.20981061908861412</v>
      </c>
      <c r="O40">
        <f>'2023 components'!AB14</f>
        <v>2.765499223273549E-2</v>
      </c>
      <c r="P40">
        <f>'2023 components'!AC14</f>
        <v>0.45757058606196299</v>
      </c>
      <c r="Q40">
        <f>'2023 components'!AD14</f>
        <v>0</v>
      </c>
      <c r="T40">
        <f>'2023 components'!AG17</f>
        <v>0.4427448878615744</v>
      </c>
      <c r="U40">
        <f>'2023 components'!AH17</f>
        <v>2.2037157368483872E-3</v>
      </c>
      <c r="V40">
        <f>'2023 components'!AI17</f>
        <v>4.1756156794292863E-2</v>
      </c>
      <c r="W40">
        <f>'2023 components'!AJ17</f>
        <v>1.0010745187572745</v>
      </c>
      <c r="X40">
        <f>'2023 components'!AK21</f>
        <v>1.7708063721874043</v>
      </c>
      <c r="Y40">
        <f>'2023 components'!AL21</f>
        <v>0</v>
      </c>
      <c r="Z40">
        <f>'2023 components'!AM21</f>
        <v>0</v>
      </c>
      <c r="AA40">
        <f>'2023 components'!AN21</f>
        <v>0</v>
      </c>
      <c r="AB40">
        <f>'2023 components'!AO18</f>
        <v>47.585682423790196</v>
      </c>
      <c r="AC40">
        <f>'2023 components'!AP18</f>
        <v>0.15373698674784678</v>
      </c>
      <c r="AD40">
        <f>'2023 components'!AQ18</f>
        <v>40.949750209232455</v>
      </c>
      <c r="AE40">
        <f>'2023 components'!AR18</f>
        <v>0.28419018572091292</v>
      </c>
      <c r="AF40">
        <f>'2023 components'!AS18</f>
        <v>157.17560741575514</v>
      </c>
      <c r="AG40">
        <f>'2023 components'!AT18</f>
        <v>161.25115699804385</v>
      </c>
      <c r="AH40">
        <f>'2023 components'!AU18</f>
        <v>20.911062685354459</v>
      </c>
      <c r="AI40">
        <f>'2023 components'!AV18</f>
        <v>22.813034342203263</v>
      </c>
      <c r="AJ40">
        <f>'2023 components'!AW18</f>
        <v>34.309868603155259</v>
      </c>
      <c r="AK40">
        <f>'2023 components'!AX18</f>
        <v>14.47198545602275</v>
      </c>
      <c r="AM40">
        <f>'2023 components'!AZ21</f>
        <v>20.245142765795233</v>
      </c>
      <c r="AN40">
        <f>'2023 components'!BA21</f>
        <v>8.1296785617668021</v>
      </c>
      <c r="AO40">
        <f>'2023 components'!BB21</f>
        <v>24.321346007230513</v>
      </c>
      <c r="AP40">
        <f>'2023 components'!BC21</f>
        <v>10.284878384692947</v>
      </c>
      <c r="AQ40">
        <v>0.28767123287671231</v>
      </c>
      <c r="AR40">
        <v>1.7195707762557075</v>
      </c>
      <c r="AS40">
        <v>1.9050228310502282</v>
      </c>
      <c r="AT40">
        <v>2.8575342465753422</v>
      </c>
      <c r="AU40">
        <v>0.96</v>
      </c>
      <c r="AV40" t="s">
        <v>143</v>
      </c>
      <c r="AW40">
        <f>IF(OR(L9=1,AND(K9=1,D6&lt;3),AND(H9=1,D6=0)),1,0)</f>
        <v>0</v>
      </c>
    </row>
    <row r="41" spans="1:49" x14ac:dyDescent="0.25">
      <c r="D41" s="1" t="s">
        <v>159</v>
      </c>
      <c r="E41" s="1">
        <f>E39*E40</f>
        <v>0</v>
      </c>
      <c r="F41" s="1">
        <f t="shared" ref="F41:AU41" si="2">F39*F40</f>
        <v>0</v>
      </c>
      <c r="G41" s="1">
        <f t="shared" si="2"/>
        <v>286.44531759360001</v>
      </c>
      <c r="H41" s="1">
        <f t="shared" si="2"/>
        <v>0</v>
      </c>
      <c r="I41" s="1">
        <f t="shared" si="2"/>
        <v>0</v>
      </c>
      <c r="J41" s="1">
        <f t="shared" si="2"/>
        <v>0</v>
      </c>
      <c r="K41" s="1">
        <f t="shared" si="2"/>
        <v>0</v>
      </c>
      <c r="L41" s="1">
        <f t="shared" si="2"/>
        <v>0</v>
      </c>
      <c r="M41" s="1">
        <f t="shared" si="2"/>
        <v>0.37155333390804135</v>
      </c>
      <c r="N41" s="1">
        <f t="shared" si="2"/>
        <v>0</v>
      </c>
      <c r="O41" s="1">
        <f t="shared" si="2"/>
        <v>0</v>
      </c>
      <c r="P41" s="1">
        <f t="shared" si="2"/>
        <v>0.45757058606196299</v>
      </c>
      <c r="Q41" s="1">
        <f t="shared" si="2"/>
        <v>0</v>
      </c>
      <c r="R41" s="1">
        <f t="shared" si="2"/>
        <v>0</v>
      </c>
      <c r="S41" s="1">
        <f t="shared" si="2"/>
        <v>0</v>
      </c>
      <c r="T41" s="1">
        <f t="shared" si="2"/>
        <v>0.4427448878615744</v>
      </c>
      <c r="U41" s="1">
        <f t="shared" si="2"/>
        <v>2.2037157368483872E-3</v>
      </c>
      <c r="V41" s="1">
        <f t="shared" si="2"/>
        <v>0</v>
      </c>
      <c r="W41" s="1">
        <f t="shared" si="2"/>
        <v>0</v>
      </c>
      <c r="X41" s="1">
        <f t="shared" si="2"/>
        <v>1.7708063721874043</v>
      </c>
      <c r="Y41" s="1">
        <f t="shared" si="2"/>
        <v>0</v>
      </c>
      <c r="Z41" s="1">
        <f t="shared" si="2"/>
        <v>0</v>
      </c>
      <c r="AA41" s="1">
        <f t="shared" si="2"/>
        <v>0</v>
      </c>
      <c r="AB41" s="1">
        <f t="shared" si="2"/>
        <v>47.585682423790196</v>
      </c>
      <c r="AC41" s="1">
        <f t="shared" si="2"/>
        <v>0.15373698674784678</v>
      </c>
      <c r="AD41" s="1">
        <f t="shared" si="2"/>
        <v>0</v>
      </c>
      <c r="AE41" s="1">
        <f t="shared" si="2"/>
        <v>0</v>
      </c>
      <c r="AF41" s="1">
        <f t="shared" si="2"/>
        <v>157.17560741575514</v>
      </c>
      <c r="AG41" s="1">
        <f t="shared" si="2"/>
        <v>0</v>
      </c>
      <c r="AH41" s="1">
        <f t="shared" si="2"/>
        <v>20.911062685354459</v>
      </c>
      <c r="AI41" s="1">
        <f t="shared" si="2"/>
        <v>0</v>
      </c>
      <c r="AJ41" s="1">
        <f t="shared" si="2"/>
        <v>0</v>
      </c>
      <c r="AK41" s="1">
        <f t="shared" si="2"/>
        <v>0</v>
      </c>
      <c r="AL41" s="1">
        <f t="shared" si="2"/>
        <v>0</v>
      </c>
      <c r="AM41" s="1">
        <f t="shared" si="2"/>
        <v>0</v>
      </c>
      <c r="AN41" s="1">
        <f t="shared" si="2"/>
        <v>8.1296785617668021</v>
      </c>
      <c r="AO41" s="1">
        <f t="shared" si="2"/>
        <v>0</v>
      </c>
      <c r="AP41" s="1">
        <f t="shared" si="2"/>
        <v>0</v>
      </c>
      <c r="AQ41" s="1">
        <f t="shared" si="2"/>
        <v>0.28767123287671231</v>
      </c>
      <c r="AR41" s="1">
        <f t="shared" si="2"/>
        <v>0</v>
      </c>
      <c r="AS41" s="1">
        <f t="shared" si="2"/>
        <v>0</v>
      </c>
      <c r="AT41" s="1">
        <f t="shared" si="2"/>
        <v>0</v>
      </c>
      <c r="AU41" s="1">
        <f t="shared" si="2"/>
        <v>0</v>
      </c>
    </row>
    <row r="42" spans="1:49" x14ac:dyDescent="0.25">
      <c r="D42" s="1" t="s">
        <v>87</v>
      </c>
      <c r="E42" t="s">
        <v>76</v>
      </c>
      <c r="F42" t="s">
        <v>76</v>
      </c>
      <c r="G42" t="s">
        <v>76</v>
      </c>
      <c r="H42" t="s">
        <v>76</v>
      </c>
      <c r="I42" t="s">
        <v>76</v>
      </c>
      <c r="J42" t="s">
        <v>76</v>
      </c>
      <c r="K42" t="s">
        <v>72</v>
      </c>
      <c r="M42" t="s">
        <v>7</v>
      </c>
      <c r="N42" t="s">
        <v>7</v>
      </c>
      <c r="O42" t="s">
        <v>7</v>
      </c>
      <c r="P42" t="s">
        <v>7</v>
      </c>
      <c r="Q42" t="s">
        <v>7</v>
      </c>
      <c r="T42" t="s">
        <v>154</v>
      </c>
      <c r="U42" t="s">
        <v>154</v>
      </c>
      <c r="V42" t="s">
        <v>154</v>
      </c>
      <c r="W42" t="s">
        <v>154</v>
      </c>
      <c r="X42" t="s">
        <v>155</v>
      </c>
      <c r="Y42" t="s">
        <v>155</v>
      </c>
      <c r="Z42" t="s">
        <v>155</v>
      </c>
      <c r="AA42" t="s">
        <v>155</v>
      </c>
      <c r="AB42" t="s">
        <v>10</v>
      </c>
      <c r="AC42" t="s">
        <v>10</v>
      </c>
      <c r="AD42" t="s">
        <v>10</v>
      </c>
      <c r="AE42" t="s">
        <v>10</v>
      </c>
      <c r="AF42" t="s">
        <v>10</v>
      </c>
      <c r="AG42" t="s">
        <v>10</v>
      </c>
      <c r="AH42" t="s">
        <v>10</v>
      </c>
      <c r="AI42" t="s">
        <v>10</v>
      </c>
      <c r="AJ42" t="s">
        <v>10</v>
      </c>
      <c r="AK42" t="s">
        <v>10</v>
      </c>
      <c r="AM42" t="s">
        <v>155</v>
      </c>
      <c r="AN42" t="s">
        <v>155</v>
      </c>
      <c r="AO42" t="s">
        <v>155</v>
      </c>
      <c r="AP42" t="s">
        <v>155</v>
      </c>
      <c r="AQ42" t="s">
        <v>155</v>
      </c>
      <c r="AR42" t="s">
        <v>155</v>
      </c>
      <c r="AS42" t="s">
        <v>155</v>
      </c>
      <c r="AT42" t="s">
        <v>155</v>
      </c>
      <c r="AU42" t="s">
        <v>155</v>
      </c>
    </row>
    <row r="44" spans="1:49" x14ac:dyDescent="0.25">
      <c r="AC44" t="s">
        <v>156</v>
      </c>
    </row>
    <row r="45" spans="1:49" x14ac:dyDescent="0.25">
      <c r="AC45" t="s">
        <v>157</v>
      </c>
      <c r="AD45">
        <f>AB41+AD41</f>
        <v>47.585682423790196</v>
      </c>
    </row>
    <row r="46" spans="1:49" x14ac:dyDescent="0.25">
      <c r="AC46" t="s">
        <v>11</v>
      </c>
      <c r="AD46">
        <f>SUM(AF41:AK41)</f>
        <v>178.0866701011096</v>
      </c>
    </row>
    <row r="47" spans="1:49" x14ac:dyDescent="0.25">
      <c r="AC47" t="s">
        <v>158</v>
      </c>
      <c r="AD47">
        <f>SUM(AC41,AE41)*AD46</f>
        <v>27.37850804130245</v>
      </c>
    </row>
    <row r="48" spans="1:49" x14ac:dyDescent="0.25">
      <c r="AC48" t="s">
        <v>146</v>
      </c>
      <c r="AD48">
        <f>AD45+AD47</f>
        <v>74.964190465092642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D7A29-6E3F-4E6C-9DFC-5CB4CBB4FEC3}">
  <dimension ref="A1:AU48"/>
  <sheetViews>
    <sheetView zoomScaleNormal="100" workbookViewId="0">
      <pane xSplit="1" topLeftCell="B1" activePane="topRight" state="frozen"/>
      <selection activeCell="B2" sqref="B2:L24"/>
      <selection pane="topRight" activeCell="B2" sqref="B2:L24"/>
    </sheetView>
  </sheetViews>
  <sheetFormatPr defaultColWidth="8.85546875" defaultRowHeight="15" x14ac:dyDescent="0.25"/>
  <cols>
    <col min="1" max="1" width="15.42578125" customWidth="1"/>
    <col min="2" max="2" width="14" customWidth="1"/>
    <col min="4" max="4" width="11.85546875" customWidth="1"/>
    <col min="5" max="5" width="11" customWidth="1"/>
    <col min="35" max="35" width="11" customWidth="1"/>
    <col min="36" max="36" width="11.42578125" customWidth="1"/>
    <col min="37" max="37" width="14.140625" customWidth="1"/>
  </cols>
  <sheetData>
    <row r="1" spans="1:12" x14ac:dyDescent="0.25">
      <c r="A1" s="1" t="s">
        <v>141</v>
      </c>
    </row>
    <row r="2" spans="1:12" x14ac:dyDescent="0.25">
      <c r="A2" t="s">
        <v>88</v>
      </c>
      <c r="B2">
        <v>1</v>
      </c>
    </row>
    <row r="3" spans="1:12" x14ac:dyDescent="0.25">
      <c r="A3" t="s">
        <v>89</v>
      </c>
      <c r="B3">
        <v>0</v>
      </c>
    </row>
    <row r="5" spans="1:12" x14ac:dyDescent="0.25">
      <c r="A5" t="s">
        <v>55</v>
      </c>
      <c r="B5" t="s">
        <v>56</v>
      </c>
      <c r="C5" t="s">
        <v>57</v>
      </c>
      <c r="D5" t="s">
        <v>58</v>
      </c>
      <c r="E5" t="s">
        <v>90</v>
      </c>
    </row>
    <row r="6" spans="1:12" x14ac:dyDescent="0.25">
      <c r="A6">
        <v>0</v>
      </c>
      <c r="B6">
        <v>1</v>
      </c>
      <c r="C6">
        <v>1</v>
      </c>
      <c r="D6">
        <v>0</v>
      </c>
      <c r="E6">
        <f>SUM(A6:D6)</f>
        <v>2</v>
      </c>
    </row>
    <row r="8" spans="1:12" x14ac:dyDescent="0.25">
      <c r="A8" s="1" t="s">
        <v>87</v>
      </c>
      <c r="B8" t="s">
        <v>0</v>
      </c>
      <c r="C8" t="s">
        <v>1</v>
      </c>
      <c r="D8" t="s">
        <v>2</v>
      </c>
      <c r="E8" t="s">
        <v>3</v>
      </c>
      <c r="F8" t="s">
        <v>91</v>
      </c>
      <c r="G8" t="s">
        <v>92</v>
      </c>
      <c r="H8" t="s">
        <v>93</v>
      </c>
      <c r="I8" t="s">
        <v>94</v>
      </c>
      <c r="J8" t="s">
        <v>95</v>
      </c>
      <c r="K8" t="s">
        <v>96</v>
      </c>
      <c r="L8" t="s">
        <v>97</v>
      </c>
    </row>
    <row r="9" spans="1:12" x14ac:dyDescent="0.25">
      <c r="B9">
        <f>IF(AND(B2=1,E6=0),1,0)</f>
        <v>0</v>
      </c>
      <c r="C9">
        <f>IF(AND(B2=2,E6=0),1,0)</f>
        <v>0</v>
      </c>
      <c r="D9">
        <f>IF(AND(B3=1,E6=0),1,0)</f>
        <v>0</v>
      </c>
      <c r="E9">
        <f>IF(AND(B3=2,E6=0),1,0)</f>
        <v>0</v>
      </c>
      <c r="F9">
        <f>IF(AND(B2=1,E6=1),1,0)</f>
        <v>0</v>
      </c>
      <c r="G9">
        <f>IF(AND(B2=1,E6=2),1,0)</f>
        <v>1</v>
      </c>
      <c r="H9">
        <f>IF(AND(B2=1,E6=3),1,0)</f>
        <v>0</v>
      </c>
      <c r="I9">
        <f>IF(AND(B2=2,E6=1),1,0)</f>
        <v>0</v>
      </c>
      <c r="J9">
        <f>IF(AND(B2=2,E6=2),1,0)</f>
        <v>0</v>
      </c>
      <c r="K9">
        <f>IF(AND(B2=2,E6=3),1,0)</f>
        <v>0</v>
      </c>
      <c r="L9">
        <f>IF(AND(B2=2,E6=4),1,0)</f>
        <v>0</v>
      </c>
    </row>
    <row r="11" spans="1:12" x14ac:dyDescent="0.25">
      <c r="A11" s="1"/>
      <c r="B11" s="1" t="s">
        <v>146</v>
      </c>
      <c r="C11" s="10" t="s">
        <v>147</v>
      </c>
      <c r="D11" s="10" t="s">
        <v>148</v>
      </c>
      <c r="E11" s="10" t="s">
        <v>98</v>
      </c>
    </row>
    <row r="12" spans="1:12" x14ac:dyDescent="0.25">
      <c r="A12" s="9" t="s">
        <v>64</v>
      </c>
      <c r="C12" s="10"/>
      <c r="D12" s="10"/>
      <c r="E12" s="10"/>
    </row>
    <row r="13" spans="1:12" x14ac:dyDescent="0.25">
      <c r="A13" s="8" t="s">
        <v>65</v>
      </c>
      <c r="B13">
        <f>C13+D13+E13</f>
        <v>105.2107430554739</v>
      </c>
      <c r="C13" s="10">
        <f>SUM(B$9*'2023 components'!C5,C$9*'2023 components'!D5,D$9*'2023 components'!E5,E$9*'2023 components'!F5,F$9*'2023 components'!G5,G$9*'2023 components'!H5,H$9*'2023 components'!I5,I$9*'2023 components'!J5,J$9*'2023 components'!K5,K$9*'2023 components'!L5,L$9*'2023 components'!M5)</f>
        <v>50.667272732620511</v>
      </c>
      <c r="D13" s="10">
        <f>SUM(A$6*'2023 components'!N5,B$6*'2023 components'!O5,C$6*'2023 components'!P5,D$6*'2023 components'!Q5)</f>
        <v>54.543470322853381</v>
      </c>
      <c r="E13" s="10"/>
    </row>
    <row r="14" spans="1:12" x14ac:dyDescent="0.25">
      <c r="A14" s="8" t="s">
        <v>66</v>
      </c>
      <c r="B14">
        <f t="shared" ref="B14:B29" si="0">C14+D14+E14</f>
        <v>5.8826531201912449</v>
      </c>
      <c r="C14" s="10">
        <f>SUM(B$9*'2023 components'!C6,C$9*'2023 components'!D6,D$9*'2023 components'!E6,E$9*'2023 components'!F6,F$9*'2023 components'!G6,G$9*'2023 components'!H6,H$9*'2023 components'!I6,I$9*'2023 components'!J6,J$9*'2023 components'!K6,K$9*'2023 components'!L6,L$9*'2023 components'!M6)</f>
        <v>5.8826531201912449</v>
      </c>
      <c r="D14" s="10">
        <f>SUM(A$6*'2023 components'!N6,B$6*'2023 components'!O6,C$6*'2023 components'!P6,D$6*'2023 components'!Q6)</f>
        <v>0</v>
      </c>
      <c r="E14" s="10"/>
    </row>
    <row r="15" spans="1:12" x14ac:dyDescent="0.25">
      <c r="A15" s="8" t="s">
        <v>67</v>
      </c>
      <c r="B15">
        <f t="shared" si="0"/>
        <v>0</v>
      </c>
      <c r="C15" s="10">
        <f>SUM(B$9*'2023 components'!C7,C$9*'2023 components'!D7,D$9*'2023 components'!E7,E$9*'2023 components'!F7,F$9*'2023 components'!G7,G$9*'2023 components'!H7,H$9*'2023 components'!I7,I$9*'2023 components'!J7,J$9*'2023 components'!K7,K$9*'2023 components'!L7,L$9*'2023 components'!M7)</f>
        <v>0</v>
      </c>
      <c r="D15" s="10">
        <f>SUM(A$6*'2023 components'!N7,B$6*'2023 components'!O7,C$6*'2023 components'!P7,D$6*'2023 components'!Q7)</f>
        <v>0</v>
      </c>
      <c r="E15" s="10"/>
    </row>
    <row r="16" spans="1:12" x14ac:dyDescent="0.25">
      <c r="A16" s="8" t="s">
        <v>68</v>
      </c>
      <c r="B16">
        <f t="shared" si="0"/>
        <v>41.495595012606351</v>
      </c>
      <c r="C16" s="10">
        <f>SUM(B$9*'2023 components'!C8,C$9*'2023 components'!D8,D$9*'2023 components'!E8,E$9*'2023 components'!F8,F$9*'2023 components'!G8,G$9*'2023 components'!H8,H$9*'2023 components'!I8,I$9*'2023 components'!J8,J$9*'2023 components'!K8,K$9*'2023 components'!L8,L$9*'2023 components'!M8)</f>
        <v>15.697127222017148</v>
      </c>
      <c r="D16" s="10">
        <f>SUM(A$6*'2023 components'!N8,B$6*'2023 components'!O8,C$6*'2023 components'!P8,D$6*'2023 components'!Q8)</f>
        <v>25.798467790589203</v>
      </c>
      <c r="E16" s="10"/>
    </row>
    <row r="17" spans="1:11" x14ac:dyDescent="0.25">
      <c r="A17" s="8" t="s">
        <v>69</v>
      </c>
      <c r="B17">
        <f t="shared" si="0"/>
        <v>12.54056925996205</v>
      </c>
      <c r="C17" s="10">
        <f>SUM(B$9*'2023 components'!C9,C$9*'2023 components'!D9,D$9*'2023 components'!E9,E$9*'2023 components'!F9,F$9*'2023 components'!G9,G$9*'2023 components'!H9,H$9*'2023 components'!I9,I$9*'2023 components'!J9,J$9*'2023 components'!K9,K$9*'2023 components'!L9,L$9*'2023 components'!M9)</f>
        <v>12.54056925996205</v>
      </c>
      <c r="D17" s="10">
        <f>SUM(A$6*'2023 components'!N9,B$6*'2023 components'!O9,C$6*'2023 components'!P9,D$6*'2023 components'!Q9)</f>
        <v>0</v>
      </c>
      <c r="E17" s="10"/>
    </row>
    <row r="18" spans="1:11" x14ac:dyDescent="0.25">
      <c r="A18" s="8" t="s">
        <v>70</v>
      </c>
      <c r="B18">
        <f t="shared" si="0"/>
        <v>24.130633333333332</v>
      </c>
      <c r="C18" s="10">
        <f>SUM(B$9*'2023 components'!C10,C$9*'2023 components'!D10,D$9*'2023 components'!E10,E$9*'2023 components'!F10,F$9*'2023 components'!G10,G$9*'2023 components'!H10,H$9*'2023 components'!I10,I$9*'2023 components'!J10,J$9*'2023 components'!K10,K$9*'2023 components'!L10,L$9*'2023 components'!M10)</f>
        <v>24.130633333333332</v>
      </c>
      <c r="D18" s="10">
        <f>SUM(A$6*'2023 components'!N10,B$6*'2023 components'!O10,C$6*'2023 components'!P10,D$6*'2023 components'!Q10)</f>
        <v>0</v>
      </c>
      <c r="E18" s="10"/>
    </row>
    <row r="19" spans="1:11" x14ac:dyDescent="0.25">
      <c r="A19" s="8" t="s">
        <v>71</v>
      </c>
      <c r="B19">
        <f t="shared" si="0"/>
        <v>1.7255534743066059</v>
      </c>
      <c r="C19" s="10">
        <f>SUM(B$9*'2023 components'!C11,C$9*'2023 components'!D11,D$9*'2023 components'!E11,E$9*'2023 components'!F11,F$9*'2023 components'!G11,G$9*'2023 components'!H11,H$9*'2023 components'!I11,I$9*'2023 components'!J11,J$9*'2023 components'!K11,K$9*'2023 components'!L11,L$9*'2023 components'!M11)</f>
        <v>1.7255534743066059</v>
      </c>
      <c r="D19" s="10">
        <f>SUM(A$6*'2023 components'!N11,B$6*'2023 components'!O11,C$6*'2023 components'!P11,D$6*'2023 components'!Q11)</f>
        <v>0</v>
      </c>
      <c r="E19" s="10"/>
    </row>
    <row r="20" spans="1:11" x14ac:dyDescent="0.25">
      <c r="A20" s="8" t="s">
        <v>72</v>
      </c>
      <c r="B20">
        <f t="shared" si="0"/>
        <v>58.640336710410963</v>
      </c>
      <c r="C20" s="10">
        <f>SUM(B$9*'2023 components'!C12,C$9*'2023 components'!D12,D$9*'2023 components'!E12,E$9*'2023 components'!F12,F$9*'2023 components'!G12,G$9*'2023 components'!H12,H$9*'2023 components'!I12,I$9*'2023 components'!J12,J$9*'2023 components'!K12,K$9*'2023 components'!L12,L$9*'2023 components'!M12)</f>
        <v>58.640336710410963</v>
      </c>
      <c r="D20" s="10">
        <f>SUM(A$6*'2023 components'!N12,B$6*'2023 components'!O12,C$6*'2023 components'!P12,D$6*'2023 components'!Q12)</f>
        <v>0</v>
      </c>
      <c r="E20" s="10">
        <f>K41</f>
        <v>0</v>
      </c>
    </row>
    <row r="21" spans="1:11" x14ac:dyDescent="0.25">
      <c r="A21" s="8" t="s">
        <v>73</v>
      </c>
      <c r="B21">
        <f t="shared" si="0"/>
        <v>2.1941982272361029</v>
      </c>
      <c r="C21" s="10">
        <f>SUM(B$9*'2023 components'!C13,C$9*'2023 components'!D13,D$9*'2023 components'!E13,E$9*'2023 components'!F13,F$9*'2023 components'!G13,G$9*'2023 components'!H13,H$9*'2023 components'!I13,I$9*'2023 components'!J13,J$9*'2023 components'!K13,K$9*'2023 components'!L13,L$9*'2023 components'!M13)</f>
        <v>2.1941982272361029</v>
      </c>
      <c r="D21" s="10">
        <f>SUM(A$6*'2023 components'!N13,B$6*'2023 components'!O13,C$6*'2023 components'!P13,D$6*'2023 components'!Q13)</f>
        <v>0</v>
      </c>
      <c r="E21" s="10"/>
    </row>
    <row r="22" spans="1:11" x14ac:dyDescent="0.25">
      <c r="A22" s="8" t="s">
        <v>74</v>
      </c>
      <c r="B22">
        <f t="shared" si="0"/>
        <v>33.056020023294728</v>
      </c>
      <c r="C22" s="10">
        <f>SUM(B$9*'2023 components'!C14,C$9*'2023 components'!D14,D$9*'2023 components'!E14,E$9*'2023 components'!F14,F$9*'2023 components'!G14,G$9*'2023 components'!H14,H$9*'2023 components'!I14,I$9*'2023 components'!J14,J$9*'2023 components'!K14,K$9*'2023 components'!L14,L$9*'2023 components'!M14)</f>
        <v>27.098545188095329</v>
      </c>
      <c r="D22" s="10">
        <f>SUM(A$6*'2023 components'!N14,B$6*'2023 components'!O14,C$6*'2023 components'!P14,D$6*'2023 components'!Q14)</f>
        <v>5.2624386378160883</v>
      </c>
      <c r="E22" s="10">
        <f>SUM(M41:Q41)</f>
        <v>0.69503619738331257</v>
      </c>
    </row>
    <row r="23" spans="1:11" x14ac:dyDescent="0.25">
      <c r="A23" s="8" t="s">
        <v>75</v>
      </c>
      <c r="B23">
        <f t="shared" si="0"/>
        <v>15.01990478016584</v>
      </c>
      <c r="C23" s="10">
        <f>SUM(B$9*'2023 components'!C15,C$9*'2023 components'!D15,D$9*'2023 components'!E15,E$9*'2023 components'!F15,F$9*'2023 components'!G15,G$9*'2023 components'!H15,H$9*'2023 components'!I15,I$9*'2023 components'!J15,J$9*'2023 components'!K15,K$9*'2023 components'!L15,L$9*'2023 components'!M15)</f>
        <v>15.01990478016584</v>
      </c>
      <c r="D23" s="10">
        <f>SUM(A$6*'2023 components'!N15,B$6*'2023 components'!O15,C$6*'2023 components'!P15,D$6*'2023 components'!Q15)</f>
        <v>0</v>
      </c>
      <c r="E23" s="10"/>
    </row>
    <row r="24" spans="1:11" x14ac:dyDescent="0.25">
      <c r="A24" s="8" t="s">
        <v>76</v>
      </c>
      <c r="B24">
        <f t="shared" si="0"/>
        <v>247.33519128620441</v>
      </c>
      <c r="C24" s="10">
        <f>SUM(B$9*'2023 components'!C16,C$9*'2023 components'!D16,D$9*'2023 components'!E16,E$9*'2023 components'!F16,F$9*'2023 components'!G16,G$9*'2023 components'!H16,H$9*'2023 components'!I16,I$9*'2023 components'!J16,J$9*'2023 components'!K16,K$9*'2023 components'!L16,L$9*'2023 components'!M16)</f>
        <v>0</v>
      </c>
      <c r="D24" s="10">
        <f>SUM(A$6*'2023 components'!N16,B$6*'2023 components'!O16,C$6*'2023 components'!P16,D$6*'2023 components'!Q16)</f>
        <v>0</v>
      </c>
      <c r="E24" s="10">
        <f>SUM(E41:J41)</f>
        <v>247.33519128620441</v>
      </c>
    </row>
    <row r="25" spans="1:11" x14ac:dyDescent="0.25">
      <c r="A25" s="8" t="s">
        <v>77</v>
      </c>
      <c r="B25">
        <f t="shared" si="0"/>
        <v>40.824620999733774</v>
      </c>
      <c r="C25" s="10">
        <f>SUM(B$9*'2023 components'!C17,C$9*'2023 components'!D17,D$9*'2023 components'!E17,E$9*'2023 components'!F17,F$9*'2023 components'!G17,G$9*'2023 components'!H17,H$9*'2023 components'!I17,I$9*'2023 components'!J17,J$9*'2023 components'!K17,K$9*'2023 components'!L17,L$9*'2023 components'!M17)</f>
        <v>24.385600272454184</v>
      </c>
      <c r="D25" s="10">
        <f>SUM(A$6*'2023 components'!N17,B$6*'2023 components'!O17,C$6*'2023 components'!P17,D$6*'2023 components'!Q17)</f>
        <v>15.952315966886868</v>
      </c>
      <c r="E25" s="10">
        <f>SUM(T41:W41)</f>
        <v>0.48670476039271565</v>
      </c>
    </row>
    <row r="26" spans="1:11" x14ac:dyDescent="0.25">
      <c r="A26" s="8" t="s">
        <v>10</v>
      </c>
      <c r="B26">
        <f t="shared" si="0"/>
        <v>80.531289671260026</v>
      </c>
      <c r="C26" s="10">
        <f>SUM(B$9*'2023 components'!C18,C$9*'2023 components'!D18,D$9*'2023 components'!E18,E$9*'2023 components'!F18,F$9*'2023 components'!G18,G$9*'2023 components'!H18,H$9*'2023 components'!I18,I$9*'2023 components'!J18,J$9*'2023 components'!K18,K$9*'2023 components'!L18,L$9*'2023 components'!M18)</f>
        <v>0</v>
      </c>
      <c r="D26" s="10">
        <f>SUM(A$6*'2023 components'!N18,B$6*'2023 components'!O18,C$6*'2023 components'!P18,D$6*'2023 components'!Q18)</f>
        <v>0</v>
      </c>
      <c r="E26" s="10">
        <f>AD48</f>
        <v>80.531289671260026</v>
      </c>
    </row>
    <row r="27" spans="1:11" x14ac:dyDescent="0.25">
      <c r="A27" s="8" t="s">
        <v>78</v>
      </c>
      <c r="B27">
        <f t="shared" si="0"/>
        <v>16.244970542809003</v>
      </c>
      <c r="C27">
        <f>I27+I28</f>
        <v>16.244970542809003</v>
      </c>
      <c r="D27">
        <f t="shared" ref="D27:E27" si="1">J27+J28</f>
        <v>0</v>
      </c>
      <c r="E27">
        <f t="shared" si="1"/>
        <v>0</v>
      </c>
      <c r="G27" t="s">
        <v>169</v>
      </c>
      <c r="H27">
        <f>I27+J27+K27</f>
        <v>0</v>
      </c>
      <c r="I27" s="10">
        <f>SUM(B$9*'2023 components'!C19,C$9*'2023 components'!D19,D$9*'2023 components'!E19,E$9*'2023 components'!F19,F$9*'2023 components'!G19,G$9*'2023 components'!H19,H$9*'2023 components'!I19,I$9*'2023 components'!J19,J$9*'2023 components'!K19,K$9*'2023 components'!L19,L$9*'2023 components'!M19)</f>
        <v>0</v>
      </c>
      <c r="J27" s="10">
        <f>SUM(A$6*'2023 components'!N19,B$6*'2023 components'!O19,C$6*'2023 components'!P19,D$6*'2023 components'!Q19)</f>
        <v>0</v>
      </c>
      <c r="K27" s="10"/>
    </row>
    <row r="28" spans="1:11" x14ac:dyDescent="0.25">
      <c r="A28" s="8" t="s">
        <v>79</v>
      </c>
      <c r="B28">
        <f t="shared" si="0"/>
        <v>105.89392808497223</v>
      </c>
      <c r="C28" s="10">
        <f>SUM(B$9*'2023 components'!C21,C$9*'2023 components'!D21,D$9*'2023 components'!E21,E$9*'2023 components'!F21,F$9*'2023 components'!G21,G$9*'2023 components'!H21,H$9*'2023 components'!I21,I$9*'2023 components'!J21,J$9*'2023 components'!K21,K$9*'2023 components'!L21,L$9*'2023 components'!M21)</f>
        <v>37.004339392069923</v>
      </c>
      <c r="D28" s="10">
        <f>SUM(A$6*'2023 components'!N21,B$6*'2023 components'!O21,C$6*'2023 components'!P21,D$6*'2023 components'!Q21)</f>
        <v>46.873639554919677</v>
      </c>
      <c r="E28" s="10">
        <f>SUM(X41:AA41)+SUM(AM41:AP41)</f>
        <v>22.015949137982638</v>
      </c>
      <c r="G28" t="s">
        <v>170</v>
      </c>
      <c r="H28">
        <f>I28+J28+K28</f>
        <v>16.244970542809003</v>
      </c>
      <c r="I28" s="10">
        <f>SUM(B$9*'2023 components'!C20,C$9*'2023 components'!D20,D$9*'2023 components'!E20,E$9*'2023 components'!F20,F$9*'2023 components'!G20,G$9*'2023 components'!H20,H$9*'2023 components'!I20,I$9*'2023 components'!J20,J$9*'2023 components'!K20,K$9*'2023 components'!L20,L$9*'2023 components'!M20)</f>
        <v>16.244970542809003</v>
      </c>
      <c r="J28" s="10">
        <f>SUM(A$6*'2023 components'!N20,B$6*'2023 components'!O20,C$6*'2023 components'!P20,D$6*'2023 components'!Q20)</f>
        <v>0</v>
      </c>
      <c r="K28" s="10"/>
    </row>
    <row r="29" spans="1:11" x14ac:dyDescent="0.25">
      <c r="A29" s="8" t="s">
        <v>80</v>
      </c>
      <c r="B29">
        <f t="shared" si="0"/>
        <v>107.58054704143699</v>
      </c>
      <c r="C29" s="10">
        <f>SUM(B$9*'2023 components'!C22,C$9*'2023 components'!D22,D$9*'2023 components'!E22,E$9*'2023 components'!F22,F$9*'2023 components'!G22,G$9*'2023 components'!H22,H$9*'2023 components'!I22,I$9*'2023 components'!J22,J$9*'2023 components'!K22,K$9*'2023 components'!L22,L$9*'2023 components'!M22)</f>
        <v>107.58054704143699</v>
      </c>
      <c r="D29" s="10">
        <f>SUM(A$6*'2023 components'!N22,B$6*'2023 components'!O22,C$6*'2023 components'!P22,D$6*'2023 components'!Q22)</f>
        <v>0</v>
      </c>
      <c r="E29" s="10"/>
    </row>
    <row r="30" spans="1:11" x14ac:dyDescent="0.25">
      <c r="E30" s="10"/>
    </row>
    <row r="33" spans="1:47" x14ac:dyDescent="0.25">
      <c r="A33" s="11" t="s">
        <v>78</v>
      </c>
      <c r="B33" s="11" t="s">
        <v>149</v>
      </c>
      <c r="C33" s="11">
        <f>SUM(B$9*'2023 components'!C17,C$9*'2023 components'!D17,D$9*'2023 components'!E17,E$9*'2023 components'!F17,F$9*'2023 components'!G17,G$9*'2023 components'!H17,H$9*'2023 components'!I17,I$9*'2023 components'!J17,J$9*'2023 components'!K17,K$9*'2023 components'!L17,L$9*'2023 components'!M17)</f>
        <v>24.385600272454184</v>
      </c>
      <c r="D33" s="10">
        <f>SUM(A$6*'2023 components'!N17,B$6*'2023 components'!O17,C$6*'2023 components'!P17,D$6*'2023 components'!Q17)</f>
        <v>15.952315966886868</v>
      </c>
    </row>
    <row r="34" spans="1:47" x14ac:dyDescent="0.25">
      <c r="A34" s="11"/>
      <c r="B34" s="11" t="s">
        <v>150</v>
      </c>
      <c r="C34" s="11">
        <f>SUM(B$9*'2023 components'!C18,C$9*'2023 components'!D18,D$9*'2023 components'!E18,E$9*'2023 components'!F18,F$9*'2023 components'!G18,G$9*'2023 components'!H18,H$9*'2023 components'!I18,I$9*'2023 components'!J18,J$9*'2023 components'!K18,K$9*'2023 components'!L18,L$9*'2023 components'!M18)</f>
        <v>0</v>
      </c>
      <c r="D34" s="10">
        <f>SUM(A$6*'2023 components'!N18,B$6*'2023 components'!O18,C$6*'2023 components'!P18,D$6*'2023 components'!Q18)</f>
        <v>0</v>
      </c>
    </row>
    <row r="35" spans="1:47" x14ac:dyDescent="0.25">
      <c r="A35" s="11"/>
      <c r="B35" s="11" t="s">
        <v>151</v>
      </c>
      <c r="C35" s="11">
        <f>C33+C34</f>
        <v>24.385600272454184</v>
      </c>
      <c r="D35" s="11">
        <f>D33+D34</f>
        <v>15.952315966886868</v>
      </c>
    </row>
    <row r="37" spans="1:47" ht="45" x14ac:dyDescent="0.25">
      <c r="E37" t="s">
        <v>28</v>
      </c>
      <c r="F37" t="s">
        <v>29</v>
      </c>
      <c r="G37" t="s">
        <v>30</v>
      </c>
      <c r="H37" t="s">
        <v>31</v>
      </c>
      <c r="I37" t="s">
        <v>32</v>
      </c>
      <c r="J37" t="s">
        <v>33</v>
      </c>
      <c r="K37" t="s">
        <v>34</v>
      </c>
      <c r="L37" t="s">
        <v>35</v>
      </c>
      <c r="M37" t="s">
        <v>36</v>
      </c>
      <c r="N37" t="s">
        <v>37</v>
      </c>
      <c r="O37" t="s">
        <v>38</v>
      </c>
      <c r="P37" t="s">
        <v>39</v>
      </c>
      <c r="Q37" t="s">
        <v>40</v>
      </c>
      <c r="R37" t="s">
        <v>41</v>
      </c>
      <c r="S37" t="s">
        <v>42</v>
      </c>
      <c r="T37" t="s">
        <v>39</v>
      </c>
      <c r="U37" t="s">
        <v>40</v>
      </c>
      <c r="V37" t="s">
        <v>99</v>
      </c>
      <c r="W37" s="3" t="s">
        <v>44</v>
      </c>
      <c r="X37" t="s">
        <v>100</v>
      </c>
      <c r="Y37" t="s">
        <v>101</v>
      </c>
      <c r="Z37" t="s">
        <v>102</v>
      </c>
      <c r="AA37" t="s">
        <v>48</v>
      </c>
      <c r="AB37" t="s">
        <v>49</v>
      </c>
      <c r="AC37" t="s">
        <v>50</v>
      </c>
      <c r="AD37" t="s">
        <v>51</v>
      </c>
      <c r="AE37" t="s">
        <v>52</v>
      </c>
      <c r="AF37" t="s">
        <v>53</v>
      </c>
      <c r="AG37" t="s">
        <v>54</v>
      </c>
      <c r="AH37" t="s">
        <v>55</v>
      </c>
      <c r="AI37" t="s">
        <v>56</v>
      </c>
      <c r="AJ37" t="s">
        <v>57</v>
      </c>
      <c r="AK37" t="s">
        <v>58</v>
      </c>
      <c r="AL37" t="s">
        <v>145</v>
      </c>
      <c r="AM37" t="s">
        <v>60</v>
      </c>
      <c r="AN37" t="s">
        <v>61</v>
      </c>
      <c r="AO37" t="s">
        <v>62</v>
      </c>
      <c r="AP37" t="s">
        <v>63</v>
      </c>
      <c r="AT37" t="s">
        <v>144</v>
      </c>
    </row>
    <row r="38" spans="1:47" ht="45" x14ac:dyDescent="0.25">
      <c r="D38" s="12" t="s">
        <v>152</v>
      </c>
      <c r="E38" t="s">
        <v>103</v>
      </c>
      <c r="F38" t="s">
        <v>104</v>
      </c>
      <c r="G38" t="s">
        <v>105</v>
      </c>
      <c r="H38" t="s">
        <v>106</v>
      </c>
      <c r="I38" t="s">
        <v>107</v>
      </c>
      <c r="J38" t="s">
        <v>108</v>
      </c>
      <c r="K38" t="s">
        <v>109</v>
      </c>
      <c r="L38" t="s">
        <v>110</v>
      </c>
      <c r="M38" t="s">
        <v>111</v>
      </c>
      <c r="N38" t="s">
        <v>112</v>
      </c>
      <c r="O38" t="s">
        <v>113</v>
      </c>
      <c r="P38" t="s">
        <v>114</v>
      </c>
      <c r="Q38" t="s">
        <v>115</v>
      </c>
      <c r="R38" t="s">
        <v>116</v>
      </c>
      <c r="S38" t="s">
        <v>117</v>
      </c>
      <c r="T38" t="s">
        <v>118</v>
      </c>
      <c r="U38" t="s">
        <v>119</v>
      </c>
      <c r="V38" t="s">
        <v>120</v>
      </c>
      <c r="W38" t="s">
        <v>121</v>
      </c>
      <c r="X38" t="s">
        <v>122</v>
      </c>
      <c r="Y38" t="s">
        <v>123</v>
      </c>
      <c r="Z38" t="s">
        <v>124</v>
      </c>
      <c r="AA38" t="s">
        <v>125</v>
      </c>
      <c r="AB38" t="s">
        <v>126</v>
      </c>
      <c r="AC38" t="s">
        <v>127</v>
      </c>
      <c r="AD38" t="s">
        <v>128</v>
      </c>
      <c r="AE38" t="s">
        <v>129</v>
      </c>
      <c r="AF38" t="s">
        <v>130</v>
      </c>
      <c r="AG38" t="s">
        <v>131</v>
      </c>
      <c r="AH38" t="s">
        <v>132</v>
      </c>
      <c r="AI38" t="s">
        <v>133</v>
      </c>
      <c r="AJ38" t="s">
        <v>134</v>
      </c>
      <c r="AK38" t="s">
        <v>135</v>
      </c>
      <c r="AL38" t="s">
        <v>136</v>
      </c>
      <c r="AM38" t="s">
        <v>137</v>
      </c>
      <c r="AN38" t="s">
        <v>138</v>
      </c>
      <c r="AO38" t="s">
        <v>139</v>
      </c>
      <c r="AP38" t="s">
        <v>140</v>
      </c>
      <c r="AT38" t="s">
        <v>142</v>
      </c>
      <c r="AU38">
        <f>IF(AND(E6&gt;0,AU39=0),1,0)</f>
        <v>1</v>
      </c>
    </row>
    <row r="39" spans="1:47" x14ac:dyDescent="0.25">
      <c r="D39" s="1" t="s">
        <v>160</v>
      </c>
      <c r="E39">
        <f>IF(AND(C6&gt;0,(B6+C6=0)),1,0)</f>
        <v>0</v>
      </c>
      <c r="F39">
        <f>C6-E39</f>
        <v>1</v>
      </c>
      <c r="G39">
        <f>IF(A6&gt;0,1,0)</f>
        <v>0</v>
      </c>
      <c r="H39">
        <f>A6-G39</f>
        <v>0</v>
      </c>
      <c r="I39">
        <f>IF(AND(A6=0,B6&gt;0),1,0)</f>
        <v>1</v>
      </c>
      <c r="J39">
        <f>B6-I39</f>
        <v>0</v>
      </c>
      <c r="K39">
        <f>IF(AND(C6+D6&gt;0,A6+B6=0),1,0)</f>
        <v>0</v>
      </c>
      <c r="M39">
        <f>IF(A6&gt;0,1,0)</f>
        <v>0</v>
      </c>
      <c r="N39">
        <f>IF(B6&gt;0,1,0)</f>
        <v>1</v>
      </c>
      <c r="O39">
        <f>IF(C6&gt;0,1,0)</f>
        <v>1</v>
      </c>
      <c r="P39">
        <f>IF(A6+B6&gt;0,1,0)</f>
        <v>1</v>
      </c>
      <c r="Q39">
        <f>IF(A6+B6+C6&gt;0,1,0)</f>
        <v>1</v>
      </c>
      <c r="T39">
        <f>P39</f>
        <v>1</v>
      </c>
      <c r="U39">
        <f>Q39</f>
        <v>1</v>
      </c>
      <c r="V39">
        <f>IF(B6+C6&gt;0,1,0)</f>
        <v>1</v>
      </c>
      <c r="W39">
        <f>IF(A6+B6&gt;1,1,0)</f>
        <v>0</v>
      </c>
      <c r="X39">
        <f>IF(A6+B6+D6&gt;0,1,0)</f>
        <v>1</v>
      </c>
      <c r="Y39">
        <f>O39</f>
        <v>1</v>
      </c>
      <c r="Z39">
        <f>IF(D6&gt;0,1,0)</f>
        <v>0</v>
      </c>
      <c r="AA39">
        <f>IF(D6&gt;1,1,0)</f>
        <v>0</v>
      </c>
      <c r="AB39">
        <f>IF(AU38=1,1,0)</f>
        <v>1</v>
      </c>
      <c r="AC39">
        <f>AB39</f>
        <v>1</v>
      </c>
      <c r="AD39">
        <f>IF(AU39=1,1,0)</f>
        <v>0</v>
      </c>
      <c r="AE39">
        <f>AD39</f>
        <v>0</v>
      </c>
      <c r="AF39">
        <f>IF(SUM('lp+2'!F9:H9)=1,1,0)</f>
        <v>1</v>
      </c>
      <c r="AG39">
        <f>IF(AND(E6&gt;0,AF39=0),1,0)</f>
        <v>0</v>
      </c>
      <c r="AH39">
        <f>A6</f>
        <v>0</v>
      </c>
      <c r="AI39">
        <f>B6</f>
        <v>1</v>
      </c>
      <c r="AJ39">
        <f>C6</f>
        <v>1</v>
      </c>
      <c r="AK39">
        <f>D6</f>
        <v>0</v>
      </c>
      <c r="AM39">
        <f>IF(AND(OR(E6=1,E6=2),C6+D6&gt;0),1,0)</f>
        <v>1</v>
      </c>
      <c r="AN39">
        <f>IF(AND(OR(E6=1,E6=2),C6+D6=0),1,0)</f>
        <v>0</v>
      </c>
      <c r="AO39">
        <f>IF(AND(E6&gt;2,C6+D6&gt;0),1,0)</f>
        <v>0</v>
      </c>
      <c r="AP39">
        <f>IF(AND(E6&gt;2,C6+D6=0),1,0)</f>
        <v>0</v>
      </c>
      <c r="AT39" t="s">
        <v>143</v>
      </c>
      <c r="AU39">
        <f>IF(OR(L9=1,AND(K9=1,D6&gt;0)),1,0)</f>
        <v>0</v>
      </c>
    </row>
    <row r="40" spans="1:47" x14ac:dyDescent="0.25">
      <c r="D40" s="1" t="s">
        <v>153</v>
      </c>
      <c r="E40">
        <f>'2023 components'!R16</f>
        <v>97.808191506804391</v>
      </c>
      <c r="F40">
        <f>'2023 components'!S16</f>
        <v>97.808191506804391</v>
      </c>
      <c r="G40">
        <f>'2023 components'!T16</f>
        <v>286.44531759360001</v>
      </c>
      <c r="H40">
        <f>'2023 components'!U16</f>
        <v>286.44531759360001</v>
      </c>
      <c r="I40">
        <f>'2023 components'!V16</f>
        <v>149.5269997794</v>
      </c>
      <c r="J40">
        <f>'2023 components'!W16</f>
        <v>149.5269997794</v>
      </c>
      <c r="K40">
        <f>'2023 components'!X12</f>
        <v>0</v>
      </c>
      <c r="M40">
        <f>'2023 components'!Z14</f>
        <v>0.37155333390804135</v>
      </c>
      <c r="N40">
        <f>'2023 components'!AA14</f>
        <v>0.20981061908861412</v>
      </c>
      <c r="O40">
        <f>'2023 components'!AB14</f>
        <v>2.765499223273549E-2</v>
      </c>
      <c r="P40">
        <f>'2023 components'!AC14</f>
        <v>0.45757058606196299</v>
      </c>
      <c r="Q40">
        <f>'2023 components'!AD14</f>
        <v>0</v>
      </c>
      <c r="T40">
        <f>'2023 components'!AG17</f>
        <v>0.4427448878615744</v>
      </c>
      <c r="U40">
        <f>'2023 components'!AH17</f>
        <v>2.2037157368483872E-3</v>
      </c>
      <c r="V40">
        <f>'2023 components'!AI17</f>
        <v>4.1756156794292863E-2</v>
      </c>
      <c r="W40">
        <f>'2023 components'!AJ17</f>
        <v>1.0010745187572745</v>
      </c>
      <c r="X40">
        <f>'2023 components'!AK21</f>
        <v>1.7708063721874043</v>
      </c>
      <c r="Y40">
        <f>'2023 components'!AL21</f>
        <v>0</v>
      </c>
      <c r="Z40">
        <f>'2023 components'!AM21</f>
        <v>0</v>
      </c>
      <c r="AA40">
        <f>'2023 components'!AN21</f>
        <v>0</v>
      </c>
      <c r="AB40">
        <f>'2023 components'!AO18</f>
        <v>47.585682423790196</v>
      </c>
      <c r="AC40">
        <f>'2023 components'!AP18</f>
        <v>0.15373698674784678</v>
      </c>
      <c r="AD40">
        <f>'2023 components'!AQ18</f>
        <v>40.949750209232455</v>
      </c>
      <c r="AE40">
        <f>'2023 components'!AR18</f>
        <v>0.28419018572091292</v>
      </c>
      <c r="AF40">
        <f>'2023 components'!AS18</f>
        <v>157.17560741575514</v>
      </c>
      <c r="AG40">
        <f>'2023 components'!AT18</f>
        <v>161.25115699804385</v>
      </c>
      <c r="AH40">
        <f>'2023 components'!AU18</f>
        <v>20.911062685354459</v>
      </c>
      <c r="AI40">
        <f>'2023 components'!AV18</f>
        <v>22.813034342203263</v>
      </c>
      <c r="AJ40">
        <f>'2023 components'!AW18</f>
        <v>34.309868603155259</v>
      </c>
      <c r="AK40">
        <f>'2023 components'!AX18</f>
        <v>14.47198545602275</v>
      </c>
      <c r="AM40">
        <f>'2023 components'!AZ21</f>
        <v>20.245142765795233</v>
      </c>
      <c r="AN40">
        <f>'2023 components'!BA21</f>
        <v>8.1296785617668021</v>
      </c>
      <c r="AO40">
        <f>'2023 components'!BB21</f>
        <v>24.321346007230513</v>
      </c>
      <c r="AP40">
        <f>'2023 components'!BC21</f>
        <v>10.284878384692947</v>
      </c>
    </row>
    <row r="41" spans="1:47" x14ac:dyDescent="0.25">
      <c r="D41" s="1" t="s">
        <v>159</v>
      </c>
      <c r="E41" s="1">
        <f>E39*E40</f>
        <v>0</v>
      </c>
      <c r="F41" s="1">
        <f t="shared" ref="F41:AP41" si="2">F39*F40</f>
        <v>97.808191506804391</v>
      </c>
      <c r="G41" s="1">
        <f t="shared" si="2"/>
        <v>0</v>
      </c>
      <c r="H41" s="1">
        <f t="shared" si="2"/>
        <v>0</v>
      </c>
      <c r="I41" s="1">
        <f t="shared" si="2"/>
        <v>149.5269997794</v>
      </c>
      <c r="J41" s="1">
        <f t="shared" si="2"/>
        <v>0</v>
      </c>
      <c r="K41" s="1">
        <f t="shared" si="2"/>
        <v>0</v>
      </c>
      <c r="L41" s="1">
        <f t="shared" si="2"/>
        <v>0</v>
      </c>
      <c r="M41" s="1">
        <f t="shared" si="2"/>
        <v>0</v>
      </c>
      <c r="N41" s="1">
        <f t="shared" si="2"/>
        <v>0.20981061908861412</v>
      </c>
      <c r="O41" s="1">
        <f t="shared" si="2"/>
        <v>2.765499223273549E-2</v>
      </c>
      <c r="P41" s="1">
        <f t="shared" si="2"/>
        <v>0.45757058606196299</v>
      </c>
      <c r="Q41" s="1">
        <f t="shared" si="2"/>
        <v>0</v>
      </c>
      <c r="R41" s="1">
        <f t="shared" si="2"/>
        <v>0</v>
      </c>
      <c r="S41" s="1">
        <f t="shared" si="2"/>
        <v>0</v>
      </c>
      <c r="T41" s="1">
        <f t="shared" si="2"/>
        <v>0.4427448878615744</v>
      </c>
      <c r="U41" s="1">
        <f t="shared" si="2"/>
        <v>2.2037157368483872E-3</v>
      </c>
      <c r="V41" s="1">
        <f t="shared" si="2"/>
        <v>4.1756156794292863E-2</v>
      </c>
      <c r="W41" s="1">
        <f t="shared" si="2"/>
        <v>0</v>
      </c>
      <c r="X41" s="1">
        <f t="shared" si="2"/>
        <v>1.7708063721874043</v>
      </c>
      <c r="Y41" s="1">
        <f t="shared" si="2"/>
        <v>0</v>
      </c>
      <c r="Z41" s="1">
        <f t="shared" si="2"/>
        <v>0</v>
      </c>
      <c r="AA41" s="1">
        <f t="shared" si="2"/>
        <v>0</v>
      </c>
      <c r="AB41" s="1">
        <f t="shared" si="2"/>
        <v>47.585682423790196</v>
      </c>
      <c r="AC41" s="1">
        <f t="shared" si="2"/>
        <v>0.15373698674784678</v>
      </c>
      <c r="AD41" s="1">
        <f t="shared" si="2"/>
        <v>0</v>
      </c>
      <c r="AE41" s="1">
        <f t="shared" si="2"/>
        <v>0</v>
      </c>
      <c r="AF41" s="1">
        <f t="shared" si="2"/>
        <v>157.17560741575514</v>
      </c>
      <c r="AG41" s="1">
        <f t="shared" si="2"/>
        <v>0</v>
      </c>
      <c r="AH41" s="1">
        <f t="shared" si="2"/>
        <v>0</v>
      </c>
      <c r="AI41" s="1">
        <f t="shared" si="2"/>
        <v>22.813034342203263</v>
      </c>
      <c r="AJ41" s="1">
        <f t="shared" si="2"/>
        <v>34.309868603155259</v>
      </c>
      <c r="AK41" s="1">
        <f t="shared" si="2"/>
        <v>0</v>
      </c>
      <c r="AL41" s="1">
        <f t="shared" si="2"/>
        <v>0</v>
      </c>
      <c r="AM41" s="1">
        <f t="shared" si="2"/>
        <v>20.245142765795233</v>
      </c>
      <c r="AN41" s="1">
        <f t="shared" si="2"/>
        <v>0</v>
      </c>
      <c r="AO41" s="1">
        <f t="shared" si="2"/>
        <v>0</v>
      </c>
      <c r="AP41" s="1">
        <f t="shared" si="2"/>
        <v>0</v>
      </c>
    </row>
    <row r="42" spans="1:47" x14ac:dyDescent="0.25">
      <c r="D42" s="1" t="s">
        <v>87</v>
      </c>
      <c r="E42" t="s">
        <v>76</v>
      </c>
      <c r="F42" t="s">
        <v>76</v>
      </c>
      <c r="G42" t="s">
        <v>76</v>
      </c>
      <c r="H42" t="s">
        <v>76</v>
      </c>
      <c r="I42" t="s">
        <v>76</v>
      </c>
      <c r="J42" t="s">
        <v>76</v>
      </c>
      <c r="K42" t="s">
        <v>72</v>
      </c>
      <c r="M42" t="s">
        <v>7</v>
      </c>
      <c r="N42" t="s">
        <v>7</v>
      </c>
      <c r="O42" t="s">
        <v>7</v>
      </c>
      <c r="P42" t="s">
        <v>7</v>
      </c>
      <c r="Q42" t="s">
        <v>7</v>
      </c>
      <c r="T42" t="s">
        <v>154</v>
      </c>
      <c r="U42" t="s">
        <v>154</v>
      </c>
      <c r="V42" t="s">
        <v>154</v>
      </c>
      <c r="W42" t="s">
        <v>154</v>
      </c>
      <c r="X42" t="s">
        <v>155</v>
      </c>
      <c r="Y42" t="s">
        <v>155</v>
      </c>
      <c r="Z42" t="s">
        <v>155</v>
      </c>
      <c r="AA42" t="s">
        <v>155</v>
      </c>
      <c r="AB42" t="s">
        <v>10</v>
      </c>
      <c r="AC42" t="s">
        <v>10</v>
      </c>
      <c r="AD42" t="s">
        <v>10</v>
      </c>
      <c r="AE42" t="s">
        <v>10</v>
      </c>
      <c r="AF42" t="s">
        <v>10</v>
      </c>
      <c r="AG42" t="s">
        <v>10</v>
      </c>
      <c r="AH42" t="s">
        <v>10</v>
      </c>
      <c r="AI42" t="s">
        <v>10</v>
      </c>
      <c r="AJ42" t="s">
        <v>10</v>
      </c>
      <c r="AK42" t="s">
        <v>10</v>
      </c>
      <c r="AM42" t="s">
        <v>155</v>
      </c>
      <c r="AN42" t="s">
        <v>155</v>
      </c>
      <c r="AO42" t="s">
        <v>155</v>
      </c>
      <c r="AP42" t="s">
        <v>155</v>
      </c>
    </row>
    <row r="44" spans="1:47" x14ac:dyDescent="0.25">
      <c r="AC44" t="s">
        <v>156</v>
      </c>
    </row>
    <row r="45" spans="1:47" x14ac:dyDescent="0.25">
      <c r="AC45" t="s">
        <v>157</v>
      </c>
      <c r="AD45">
        <f>AB41+AD41</f>
        <v>47.585682423790196</v>
      </c>
    </row>
    <row r="46" spans="1:47" x14ac:dyDescent="0.25">
      <c r="AC46" t="s">
        <v>11</v>
      </c>
      <c r="AD46">
        <f>SUM(AF41:AK41)</f>
        <v>214.29851036111364</v>
      </c>
    </row>
    <row r="47" spans="1:47" x14ac:dyDescent="0.25">
      <c r="AC47" t="s">
        <v>158</v>
      </c>
      <c r="AD47">
        <f>SUM(AC41,AE41)*AD46</f>
        <v>32.94560724746983</v>
      </c>
    </row>
    <row r="48" spans="1:47" x14ac:dyDescent="0.25">
      <c r="AC48" t="s">
        <v>146</v>
      </c>
      <c r="AD48">
        <f>AD45+AD47</f>
        <v>80.531289671260026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D3BD2-C518-44E3-9395-5E13A2D8FA83}">
  <dimension ref="A1:AU48"/>
  <sheetViews>
    <sheetView zoomScaleNormal="100" workbookViewId="0">
      <pane xSplit="1" topLeftCell="B1" activePane="topRight" state="frozen"/>
      <selection activeCell="B2" sqref="B2:L24"/>
      <selection pane="topRight" activeCell="B2" sqref="B2:L24"/>
    </sheetView>
  </sheetViews>
  <sheetFormatPr defaultColWidth="8.85546875" defaultRowHeight="15" x14ac:dyDescent="0.25"/>
  <cols>
    <col min="1" max="1" width="15.42578125" customWidth="1"/>
    <col min="2" max="2" width="14" customWidth="1"/>
    <col min="4" max="4" width="11.85546875" customWidth="1"/>
    <col min="5" max="5" width="11" customWidth="1"/>
    <col min="35" max="35" width="11" customWidth="1"/>
    <col min="36" max="36" width="11.42578125" customWidth="1"/>
    <col min="37" max="37" width="14.140625" customWidth="1"/>
  </cols>
  <sheetData>
    <row r="1" spans="1:12" x14ac:dyDescent="0.25">
      <c r="A1" s="1" t="s">
        <v>141</v>
      </c>
    </row>
    <row r="2" spans="1:12" x14ac:dyDescent="0.25">
      <c r="A2" t="s">
        <v>88</v>
      </c>
      <c r="B2">
        <v>1</v>
      </c>
    </row>
    <row r="3" spans="1:12" x14ac:dyDescent="0.25">
      <c r="A3" t="s">
        <v>89</v>
      </c>
      <c r="B3">
        <v>0</v>
      </c>
    </row>
    <row r="5" spans="1:12" x14ac:dyDescent="0.25">
      <c r="A5" t="s">
        <v>55</v>
      </c>
      <c r="B5" t="s">
        <v>56</v>
      </c>
      <c r="C5" t="s">
        <v>57</v>
      </c>
      <c r="D5" t="s">
        <v>58</v>
      </c>
      <c r="E5" t="s">
        <v>90</v>
      </c>
    </row>
    <row r="6" spans="1:12" x14ac:dyDescent="0.25">
      <c r="A6">
        <v>0</v>
      </c>
      <c r="B6">
        <v>1</v>
      </c>
      <c r="C6">
        <v>1</v>
      </c>
      <c r="D6">
        <v>1</v>
      </c>
      <c r="E6">
        <f>SUM(A6:D6)</f>
        <v>3</v>
      </c>
    </row>
    <row r="8" spans="1:12" x14ac:dyDescent="0.25">
      <c r="A8" s="1" t="s">
        <v>87</v>
      </c>
      <c r="B8" t="s">
        <v>0</v>
      </c>
      <c r="C8" t="s">
        <v>1</v>
      </c>
      <c r="D8" t="s">
        <v>2</v>
      </c>
      <c r="E8" t="s">
        <v>3</v>
      </c>
      <c r="F8" t="s">
        <v>91</v>
      </c>
      <c r="G8" t="s">
        <v>92</v>
      </c>
      <c r="H8" t="s">
        <v>93</v>
      </c>
      <c r="I8" t="s">
        <v>94</v>
      </c>
      <c r="J8" t="s">
        <v>95</v>
      </c>
      <c r="K8" t="s">
        <v>96</v>
      </c>
      <c r="L8" t="s">
        <v>97</v>
      </c>
    </row>
    <row r="9" spans="1:12" x14ac:dyDescent="0.25">
      <c r="B9">
        <f>IF(AND(B2=1,E6=0),1,0)</f>
        <v>0</v>
      </c>
      <c r="C9">
        <f>IF(AND(B2=2,E6=0),1,0)</f>
        <v>0</v>
      </c>
      <c r="D9">
        <f>IF(AND(B3=1,E6=0),1,0)</f>
        <v>0</v>
      </c>
      <c r="E9">
        <f>IF(AND(B3=2,E6=0),1,0)</f>
        <v>0</v>
      </c>
      <c r="F9">
        <f>IF(AND(B2=1,E6=1),1,0)</f>
        <v>0</v>
      </c>
      <c r="G9">
        <f>IF(AND(B2=1,E6=2),1,0)</f>
        <v>0</v>
      </c>
      <c r="H9">
        <f>IF(AND(B2=1,E6=3),1,0)</f>
        <v>1</v>
      </c>
      <c r="I9">
        <f>IF(AND(B2=2,E6=1),1,0)</f>
        <v>0</v>
      </c>
      <c r="J9">
        <f>IF(AND(B2=2,E6=2),1,0)</f>
        <v>0</v>
      </c>
      <c r="K9">
        <f>IF(AND(B2=2,E6=3),1,0)</f>
        <v>0</v>
      </c>
      <c r="L9">
        <f>IF(AND(B2=2,E6=4),1,0)</f>
        <v>0</v>
      </c>
    </row>
    <row r="11" spans="1:12" x14ac:dyDescent="0.25">
      <c r="A11" s="1"/>
      <c r="B11" s="1" t="s">
        <v>146</v>
      </c>
      <c r="C11" s="10" t="s">
        <v>147</v>
      </c>
      <c r="D11" s="10" t="s">
        <v>148</v>
      </c>
      <c r="E11" s="10" t="s">
        <v>98</v>
      </c>
    </row>
    <row r="12" spans="1:12" x14ac:dyDescent="0.25">
      <c r="A12" s="9" t="s">
        <v>64</v>
      </c>
      <c r="C12" s="10"/>
      <c r="D12" s="10"/>
      <c r="E12" s="10"/>
    </row>
    <row r="13" spans="1:12" x14ac:dyDescent="0.25">
      <c r="A13" s="8" t="s">
        <v>65</v>
      </c>
      <c r="B13">
        <f>C13+D13+E13</f>
        <v>141.9773498456054</v>
      </c>
      <c r="C13" s="10">
        <f>SUM(B$9*'2023 components'!C5,C$9*'2023 components'!D5,D$9*'2023 components'!E5,E$9*'2023 components'!F5,F$9*'2023 components'!G5,G$9*'2023 components'!H5,H$9*'2023 components'!I5,I$9*'2023 components'!J5,J$9*'2023 components'!K5,K$9*'2023 components'!L5,L$9*'2023 components'!M5)</f>
        <v>49.950619063776806</v>
      </c>
      <c r="D13" s="10">
        <f>SUM(A$6*'2023 components'!N5,B$6*'2023 components'!O5,C$6*'2023 components'!P5,D$6*'2023 components'!Q5)</f>
        <v>92.02673078182859</v>
      </c>
      <c r="E13" s="10"/>
    </row>
    <row r="14" spans="1:12" x14ac:dyDescent="0.25">
      <c r="A14" s="8" t="s">
        <v>66</v>
      </c>
      <c r="B14">
        <f t="shared" ref="B14:B29" si="0">C14+D14+E14</f>
        <v>5.8826531201912449</v>
      </c>
      <c r="C14" s="10">
        <f>SUM(B$9*'2023 components'!C6,C$9*'2023 components'!D6,D$9*'2023 components'!E6,E$9*'2023 components'!F6,F$9*'2023 components'!G6,G$9*'2023 components'!H6,H$9*'2023 components'!I6,I$9*'2023 components'!J6,J$9*'2023 components'!K6,K$9*'2023 components'!L6,L$9*'2023 components'!M6)</f>
        <v>5.8826531201912449</v>
      </c>
      <c r="D14" s="10">
        <f>SUM(A$6*'2023 components'!N6,B$6*'2023 components'!O6,C$6*'2023 components'!P6,D$6*'2023 components'!Q6)</f>
        <v>0</v>
      </c>
      <c r="E14" s="10"/>
    </row>
    <row r="15" spans="1:12" x14ac:dyDescent="0.25">
      <c r="A15" s="8" t="s">
        <v>67</v>
      </c>
      <c r="B15">
        <f t="shared" si="0"/>
        <v>0</v>
      </c>
      <c r="C15" s="10">
        <f>SUM(B$9*'2023 components'!C7,C$9*'2023 components'!D7,D$9*'2023 components'!E7,E$9*'2023 components'!F7,F$9*'2023 components'!G7,G$9*'2023 components'!H7,H$9*'2023 components'!I7,I$9*'2023 components'!J7,J$9*'2023 components'!K7,K$9*'2023 components'!L7,L$9*'2023 components'!M7)</f>
        <v>0</v>
      </c>
      <c r="D15" s="10">
        <f>SUM(A$6*'2023 components'!N7,B$6*'2023 components'!O7,C$6*'2023 components'!P7,D$6*'2023 components'!Q7)</f>
        <v>0</v>
      </c>
      <c r="E15" s="10"/>
    </row>
    <row r="16" spans="1:12" x14ac:dyDescent="0.25">
      <c r="A16" s="8" t="s">
        <v>68</v>
      </c>
      <c r="B16">
        <f t="shared" si="0"/>
        <v>59.557629258280912</v>
      </c>
      <c r="C16" s="10">
        <f>SUM(B$9*'2023 components'!C8,C$9*'2023 components'!D8,D$9*'2023 components'!E8,E$9*'2023 components'!F8,F$9*'2023 components'!G8,G$9*'2023 components'!H8,H$9*'2023 components'!I8,I$9*'2023 components'!J8,J$9*'2023 components'!K8,K$9*'2023 components'!L8,L$9*'2023 components'!M8)</f>
        <v>15.697127222017148</v>
      </c>
      <c r="D16" s="10">
        <f>SUM(A$6*'2023 components'!N8,B$6*'2023 components'!O8,C$6*'2023 components'!P8,D$6*'2023 components'!Q8)</f>
        <v>43.860502036263767</v>
      </c>
      <c r="E16" s="10"/>
    </row>
    <row r="17" spans="1:11" x14ac:dyDescent="0.25">
      <c r="A17" s="8" t="s">
        <v>69</v>
      </c>
      <c r="B17">
        <f t="shared" si="0"/>
        <v>12.54056925996205</v>
      </c>
      <c r="C17" s="10">
        <f>SUM(B$9*'2023 components'!C9,C$9*'2023 components'!D9,D$9*'2023 components'!E9,E$9*'2023 components'!F9,F$9*'2023 components'!G9,G$9*'2023 components'!H9,H$9*'2023 components'!I9,I$9*'2023 components'!J9,J$9*'2023 components'!K9,K$9*'2023 components'!L9,L$9*'2023 components'!M9)</f>
        <v>12.54056925996205</v>
      </c>
      <c r="D17" s="10">
        <f>SUM(A$6*'2023 components'!N9,B$6*'2023 components'!O9,C$6*'2023 components'!P9,D$6*'2023 components'!Q9)</f>
        <v>0</v>
      </c>
      <c r="E17" s="10"/>
    </row>
    <row r="18" spans="1:11" x14ac:dyDescent="0.25">
      <c r="A18" s="8" t="s">
        <v>70</v>
      </c>
      <c r="B18">
        <f t="shared" si="0"/>
        <v>24.130633333333332</v>
      </c>
      <c r="C18" s="10">
        <f>SUM(B$9*'2023 components'!C10,C$9*'2023 components'!D10,D$9*'2023 components'!E10,E$9*'2023 components'!F10,F$9*'2023 components'!G10,G$9*'2023 components'!H10,H$9*'2023 components'!I10,I$9*'2023 components'!J10,J$9*'2023 components'!K10,K$9*'2023 components'!L10,L$9*'2023 components'!M10)</f>
        <v>24.130633333333332</v>
      </c>
      <c r="D18" s="10">
        <f>SUM(A$6*'2023 components'!N10,B$6*'2023 components'!O10,C$6*'2023 components'!P10,D$6*'2023 components'!Q10)</f>
        <v>0</v>
      </c>
      <c r="E18" s="10"/>
    </row>
    <row r="19" spans="1:11" x14ac:dyDescent="0.25">
      <c r="A19" s="8" t="s">
        <v>71</v>
      </c>
      <c r="B19">
        <f t="shared" si="0"/>
        <v>1.9295773058608476</v>
      </c>
      <c r="C19" s="10">
        <f>SUM(B$9*'2023 components'!C11,C$9*'2023 components'!D11,D$9*'2023 components'!E11,E$9*'2023 components'!F11,F$9*'2023 components'!G11,G$9*'2023 components'!H11,H$9*'2023 components'!I11,I$9*'2023 components'!J11,J$9*'2023 components'!K11,K$9*'2023 components'!L11,L$9*'2023 components'!M11)</f>
        <v>1.9295773058608476</v>
      </c>
      <c r="D19" s="10">
        <f>SUM(A$6*'2023 components'!N11,B$6*'2023 components'!O11,C$6*'2023 components'!P11,D$6*'2023 components'!Q11)</f>
        <v>0</v>
      </c>
      <c r="E19" s="10"/>
    </row>
    <row r="20" spans="1:11" x14ac:dyDescent="0.25">
      <c r="A20" s="8" t="s">
        <v>72</v>
      </c>
      <c r="B20">
        <f t="shared" si="0"/>
        <v>61.946403210136992</v>
      </c>
      <c r="C20" s="10">
        <f>SUM(B$9*'2023 components'!C12,C$9*'2023 components'!D12,D$9*'2023 components'!E12,E$9*'2023 components'!F12,F$9*'2023 components'!G12,G$9*'2023 components'!H12,H$9*'2023 components'!I12,I$9*'2023 components'!J12,J$9*'2023 components'!K12,K$9*'2023 components'!L12,L$9*'2023 components'!M12)</f>
        <v>61.946403210136992</v>
      </c>
      <c r="D20" s="10">
        <f>SUM(A$6*'2023 components'!N12,B$6*'2023 components'!O12,C$6*'2023 components'!P12,D$6*'2023 components'!Q12)</f>
        <v>0</v>
      </c>
      <c r="E20" s="10">
        <f>K41</f>
        <v>0</v>
      </c>
    </row>
    <row r="21" spans="1:11" x14ac:dyDescent="0.25">
      <c r="A21" s="8" t="s">
        <v>73</v>
      </c>
      <c r="B21">
        <f t="shared" si="0"/>
        <v>2.1941982272361193</v>
      </c>
      <c r="C21" s="10">
        <f>SUM(B$9*'2023 components'!C13,C$9*'2023 components'!D13,D$9*'2023 components'!E13,E$9*'2023 components'!F13,F$9*'2023 components'!G13,G$9*'2023 components'!H13,H$9*'2023 components'!I13,I$9*'2023 components'!J13,J$9*'2023 components'!K13,K$9*'2023 components'!L13,L$9*'2023 components'!M13)</f>
        <v>2.1941982272361193</v>
      </c>
      <c r="D21" s="10">
        <f>SUM(A$6*'2023 components'!N13,B$6*'2023 components'!O13,C$6*'2023 components'!P13,D$6*'2023 components'!Q13)</f>
        <v>0</v>
      </c>
      <c r="E21" s="10"/>
    </row>
    <row r="22" spans="1:11" x14ac:dyDescent="0.25">
      <c r="A22" s="8" t="s">
        <v>74</v>
      </c>
      <c r="B22">
        <f t="shared" si="0"/>
        <v>37.357029874583183</v>
      </c>
      <c r="C22" s="10">
        <f>SUM(B$9*'2023 components'!C14,C$9*'2023 components'!D14,D$9*'2023 components'!E14,E$9*'2023 components'!F14,F$9*'2023 components'!G14,G$9*'2023 components'!H14,H$9*'2023 components'!I14,I$9*'2023 components'!J14,J$9*'2023 components'!K14,K$9*'2023 components'!L14,L$9*'2023 components'!M14)</f>
        <v>27.268900706849529</v>
      </c>
      <c r="D22" s="10">
        <f>SUM(A$6*'2023 components'!N14,B$6*'2023 components'!O14,C$6*'2023 components'!P14,D$6*'2023 components'!Q14)</f>
        <v>9.3930929703503416</v>
      </c>
      <c r="E22" s="10">
        <f>SUM(M41:Q41)</f>
        <v>0.69503619738331257</v>
      </c>
    </row>
    <row r="23" spans="1:11" x14ac:dyDescent="0.25">
      <c r="A23" s="8" t="s">
        <v>75</v>
      </c>
      <c r="B23">
        <f t="shared" si="0"/>
        <v>18.008206343137296</v>
      </c>
      <c r="C23" s="10">
        <f>SUM(B$9*'2023 components'!C15,C$9*'2023 components'!D15,D$9*'2023 components'!E15,E$9*'2023 components'!F15,F$9*'2023 components'!G15,G$9*'2023 components'!H15,H$9*'2023 components'!I15,I$9*'2023 components'!J15,J$9*'2023 components'!K15,K$9*'2023 components'!L15,L$9*'2023 components'!M15)</f>
        <v>15.01990478016584</v>
      </c>
      <c r="D23" s="10">
        <f>SUM(A$6*'2023 components'!N15,B$6*'2023 components'!O15,C$6*'2023 components'!P15,D$6*'2023 components'!Q15)</f>
        <v>2.9883015629714564</v>
      </c>
      <c r="E23" s="10"/>
    </row>
    <row r="24" spans="1:11" x14ac:dyDescent="0.25">
      <c r="A24" s="8" t="s">
        <v>76</v>
      </c>
      <c r="B24">
        <f t="shared" si="0"/>
        <v>247.33519128620441</v>
      </c>
      <c r="C24" s="10">
        <f>SUM(B$9*'2023 components'!C16,C$9*'2023 components'!D16,D$9*'2023 components'!E16,E$9*'2023 components'!F16,F$9*'2023 components'!G16,G$9*'2023 components'!H16,H$9*'2023 components'!I16,I$9*'2023 components'!J16,J$9*'2023 components'!K16,K$9*'2023 components'!L16,L$9*'2023 components'!M16)</f>
        <v>0</v>
      </c>
      <c r="D24" s="10">
        <f>SUM(A$6*'2023 components'!N16,B$6*'2023 components'!O16,C$6*'2023 components'!P16,D$6*'2023 components'!Q16)</f>
        <v>0</v>
      </c>
      <c r="E24" s="10">
        <f>SUM(E41:J41)</f>
        <v>247.33519128620441</v>
      </c>
    </row>
    <row r="25" spans="1:11" x14ac:dyDescent="0.25">
      <c r="A25" s="8" t="s">
        <v>77</v>
      </c>
      <c r="B25">
        <f t="shared" si="0"/>
        <v>55.201083632572441</v>
      </c>
      <c r="C25" s="10">
        <f>SUM(B$9*'2023 components'!C17,C$9*'2023 components'!D17,D$9*'2023 components'!E17,E$9*'2023 components'!F17,F$9*'2023 components'!G17,G$9*'2023 components'!H17,H$9*'2023 components'!I17,I$9*'2023 components'!J17,J$9*'2023 components'!K17,K$9*'2023 components'!L17,L$9*'2023 components'!M17)</f>
        <v>24.512069070018867</v>
      </c>
      <c r="D25" s="10">
        <f>SUM(A$6*'2023 components'!N17,B$6*'2023 components'!O17,C$6*'2023 components'!P17,D$6*'2023 components'!Q17)</f>
        <v>30.202309802160858</v>
      </c>
      <c r="E25" s="10">
        <f>SUM(T41:W41)</f>
        <v>0.48670476039271565</v>
      </c>
    </row>
    <row r="26" spans="1:11" x14ac:dyDescent="0.25">
      <c r="A26" s="8" t="s">
        <v>10</v>
      </c>
      <c r="B26">
        <f t="shared" si="0"/>
        <v>82.756169107527626</v>
      </c>
      <c r="C26" s="10">
        <f>SUM(B$9*'2023 components'!C18,C$9*'2023 components'!D18,D$9*'2023 components'!E18,E$9*'2023 components'!F18,F$9*'2023 components'!G18,G$9*'2023 components'!H18,H$9*'2023 components'!I18,I$9*'2023 components'!J18,J$9*'2023 components'!K18,K$9*'2023 components'!L18,L$9*'2023 components'!M18)</f>
        <v>0</v>
      </c>
      <c r="D26" s="10">
        <f>SUM(A$6*'2023 components'!N18,B$6*'2023 components'!O18,C$6*'2023 components'!P18,D$6*'2023 components'!Q18)</f>
        <v>0</v>
      </c>
      <c r="E26" s="10">
        <f>AD48</f>
        <v>82.756169107527626</v>
      </c>
    </row>
    <row r="27" spans="1:11" x14ac:dyDescent="0.25">
      <c r="A27" s="8" t="s">
        <v>78</v>
      </c>
      <c r="B27">
        <f t="shared" si="0"/>
        <v>29.102174704208061</v>
      </c>
      <c r="C27">
        <f>I27+I28</f>
        <v>16.244970542809003</v>
      </c>
      <c r="D27">
        <f t="shared" ref="D27:E27" si="1">J27+J28</f>
        <v>12.857204161399059</v>
      </c>
      <c r="E27">
        <f t="shared" si="1"/>
        <v>0</v>
      </c>
      <c r="G27" t="s">
        <v>169</v>
      </c>
      <c r="H27">
        <f>I27+J27+K27</f>
        <v>11.217169075876532</v>
      </c>
      <c r="I27" s="10">
        <f>SUM(B$9*'2023 components'!C19,C$9*'2023 components'!D19,D$9*'2023 components'!E19,E$9*'2023 components'!F19,F$9*'2023 components'!G19,G$9*'2023 components'!H19,H$9*'2023 components'!I19,I$9*'2023 components'!J19,J$9*'2023 components'!K19,K$9*'2023 components'!L19,L$9*'2023 components'!M19)</f>
        <v>0</v>
      </c>
      <c r="J27" s="10">
        <f>SUM(A$6*'2023 components'!N19,B$6*'2023 components'!O19,C$6*'2023 components'!P19,D$6*'2023 components'!Q19)</f>
        <v>11.217169075876532</v>
      </c>
      <c r="K27" s="10"/>
    </row>
    <row r="28" spans="1:11" x14ac:dyDescent="0.25">
      <c r="A28" s="8" t="s">
        <v>79</v>
      </c>
      <c r="B28">
        <f t="shared" si="0"/>
        <v>156.30019678403536</v>
      </c>
      <c r="C28" s="10">
        <f>SUM(B$9*'2023 components'!C21,C$9*'2023 components'!D21,D$9*'2023 components'!E21,E$9*'2023 components'!F21,F$9*'2023 components'!G21,G$9*'2023 components'!H21,H$9*'2023 components'!I21,I$9*'2023 components'!J21,J$9*'2023 components'!K21,K$9*'2023 components'!L21,L$9*'2023 components'!M21)</f>
        <v>37.004339392069923</v>
      </c>
      <c r="D28" s="10">
        <f>SUM(A$6*'2023 components'!N21,B$6*'2023 components'!O21,C$6*'2023 components'!P21,D$6*'2023 components'!Q21)</f>
        <v>93.203705012547545</v>
      </c>
      <c r="E28" s="10">
        <f>SUM(X41:AA41)+SUM(AM41:AP41)</f>
        <v>26.092152379417918</v>
      </c>
      <c r="G28" t="s">
        <v>170</v>
      </c>
      <c r="H28">
        <f>I28+J28+K28</f>
        <v>17.88500562833153</v>
      </c>
      <c r="I28" s="10">
        <f>SUM(B$9*'2023 components'!C20,C$9*'2023 components'!D20,D$9*'2023 components'!E20,E$9*'2023 components'!F20,F$9*'2023 components'!G20,G$9*'2023 components'!H20,H$9*'2023 components'!I20,I$9*'2023 components'!J20,J$9*'2023 components'!K20,K$9*'2023 components'!L20,L$9*'2023 components'!M20)</f>
        <v>16.244970542809003</v>
      </c>
      <c r="J28" s="10">
        <f>SUM(A$6*'2023 components'!N20,B$6*'2023 components'!O20,C$6*'2023 components'!P20,D$6*'2023 components'!Q20)</f>
        <v>1.640035085522527</v>
      </c>
      <c r="K28" s="10"/>
    </row>
    <row r="29" spans="1:11" x14ac:dyDescent="0.25">
      <c r="A29" s="8" t="s">
        <v>80</v>
      </c>
      <c r="B29">
        <f t="shared" si="0"/>
        <v>107.58054704143699</v>
      </c>
      <c r="C29" s="10">
        <f>SUM(B$9*'2023 components'!C22,C$9*'2023 components'!D22,D$9*'2023 components'!E22,E$9*'2023 components'!F22,F$9*'2023 components'!G22,G$9*'2023 components'!H22,H$9*'2023 components'!I22,I$9*'2023 components'!J22,J$9*'2023 components'!K22,K$9*'2023 components'!L22,L$9*'2023 components'!M22)</f>
        <v>107.58054704143699</v>
      </c>
      <c r="D29" s="10">
        <f>SUM(A$6*'2023 components'!N22,B$6*'2023 components'!O22,C$6*'2023 components'!P22,D$6*'2023 components'!Q22)</f>
        <v>0</v>
      </c>
      <c r="E29" s="10"/>
    </row>
    <row r="30" spans="1:11" x14ac:dyDescent="0.25">
      <c r="E30" s="10"/>
    </row>
    <row r="33" spans="1:47" x14ac:dyDescent="0.25">
      <c r="A33" s="11" t="s">
        <v>78</v>
      </c>
      <c r="B33" s="11" t="s">
        <v>149</v>
      </c>
      <c r="C33" s="11">
        <f>SUM(B$9*'2023 components'!C17,C$9*'2023 components'!D17,D$9*'2023 components'!E17,E$9*'2023 components'!F17,F$9*'2023 components'!G17,G$9*'2023 components'!H17,H$9*'2023 components'!I17,I$9*'2023 components'!J17,J$9*'2023 components'!K17,K$9*'2023 components'!L17,L$9*'2023 components'!M17)</f>
        <v>24.512069070018867</v>
      </c>
      <c r="D33" s="10">
        <f>SUM(A$6*'2023 components'!N17,B$6*'2023 components'!O17,C$6*'2023 components'!P17,D$6*'2023 components'!Q17)</f>
        <v>30.202309802160858</v>
      </c>
    </row>
    <row r="34" spans="1:47" x14ac:dyDescent="0.25">
      <c r="A34" s="11"/>
      <c r="B34" s="11" t="s">
        <v>150</v>
      </c>
      <c r="C34" s="11">
        <f>SUM(B$9*'2023 components'!C18,C$9*'2023 components'!D18,D$9*'2023 components'!E18,E$9*'2023 components'!F18,F$9*'2023 components'!G18,G$9*'2023 components'!H18,H$9*'2023 components'!I18,I$9*'2023 components'!J18,J$9*'2023 components'!K18,K$9*'2023 components'!L18,L$9*'2023 components'!M18)</f>
        <v>0</v>
      </c>
      <c r="D34" s="10">
        <f>SUM(A$6*'2023 components'!N18,B$6*'2023 components'!O18,C$6*'2023 components'!P18,D$6*'2023 components'!Q18)</f>
        <v>0</v>
      </c>
    </row>
    <row r="35" spans="1:47" x14ac:dyDescent="0.25">
      <c r="A35" s="11"/>
      <c r="B35" s="11" t="s">
        <v>151</v>
      </c>
      <c r="C35" s="11">
        <f>C33+C34</f>
        <v>24.512069070018867</v>
      </c>
      <c r="D35" s="11">
        <f>D33+D34</f>
        <v>30.202309802160858</v>
      </c>
    </row>
    <row r="37" spans="1:47" ht="45" x14ac:dyDescent="0.25">
      <c r="E37" t="s">
        <v>28</v>
      </c>
      <c r="F37" t="s">
        <v>29</v>
      </c>
      <c r="G37" t="s">
        <v>30</v>
      </c>
      <c r="H37" t="s">
        <v>31</v>
      </c>
      <c r="I37" t="s">
        <v>32</v>
      </c>
      <c r="J37" t="s">
        <v>33</v>
      </c>
      <c r="K37" t="s">
        <v>34</v>
      </c>
      <c r="L37" t="s">
        <v>35</v>
      </c>
      <c r="M37" t="s">
        <v>36</v>
      </c>
      <c r="N37" t="s">
        <v>37</v>
      </c>
      <c r="O37" t="s">
        <v>38</v>
      </c>
      <c r="P37" t="s">
        <v>39</v>
      </c>
      <c r="Q37" t="s">
        <v>40</v>
      </c>
      <c r="R37" t="s">
        <v>41</v>
      </c>
      <c r="S37" t="s">
        <v>42</v>
      </c>
      <c r="T37" t="s">
        <v>39</v>
      </c>
      <c r="U37" t="s">
        <v>40</v>
      </c>
      <c r="V37" t="s">
        <v>99</v>
      </c>
      <c r="W37" s="3" t="s">
        <v>44</v>
      </c>
      <c r="X37" t="s">
        <v>100</v>
      </c>
      <c r="Y37" t="s">
        <v>101</v>
      </c>
      <c r="Z37" t="s">
        <v>102</v>
      </c>
      <c r="AA37" t="s">
        <v>48</v>
      </c>
      <c r="AB37" t="s">
        <v>49</v>
      </c>
      <c r="AC37" t="s">
        <v>50</v>
      </c>
      <c r="AD37" t="s">
        <v>51</v>
      </c>
      <c r="AE37" t="s">
        <v>52</v>
      </c>
      <c r="AF37" t="s">
        <v>53</v>
      </c>
      <c r="AG37" t="s">
        <v>54</v>
      </c>
      <c r="AH37" t="s">
        <v>55</v>
      </c>
      <c r="AI37" t="s">
        <v>56</v>
      </c>
      <c r="AJ37" t="s">
        <v>57</v>
      </c>
      <c r="AK37" t="s">
        <v>58</v>
      </c>
      <c r="AL37" t="s">
        <v>145</v>
      </c>
      <c r="AM37" t="s">
        <v>60</v>
      </c>
      <c r="AN37" t="s">
        <v>61</v>
      </c>
      <c r="AO37" t="s">
        <v>62</v>
      </c>
      <c r="AP37" t="s">
        <v>63</v>
      </c>
      <c r="AT37" t="s">
        <v>144</v>
      </c>
    </row>
    <row r="38" spans="1:47" ht="45" x14ac:dyDescent="0.25">
      <c r="D38" s="12" t="s">
        <v>152</v>
      </c>
      <c r="E38" t="s">
        <v>103</v>
      </c>
      <c r="F38" t="s">
        <v>104</v>
      </c>
      <c r="G38" t="s">
        <v>105</v>
      </c>
      <c r="H38" t="s">
        <v>106</v>
      </c>
      <c r="I38" t="s">
        <v>107</v>
      </c>
      <c r="J38" t="s">
        <v>108</v>
      </c>
      <c r="K38" t="s">
        <v>109</v>
      </c>
      <c r="L38" t="s">
        <v>110</v>
      </c>
      <c r="M38" t="s">
        <v>111</v>
      </c>
      <c r="N38" t="s">
        <v>112</v>
      </c>
      <c r="O38" t="s">
        <v>113</v>
      </c>
      <c r="P38" t="s">
        <v>114</v>
      </c>
      <c r="Q38" t="s">
        <v>115</v>
      </c>
      <c r="R38" t="s">
        <v>116</v>
      </c>
      <c r="S38" t="s">
        <v>117</v>
      </c>
      <c r="T38" t="s">
        <v>118</v>
      </c>
      <c r="U38" t="s">
        <v>119</v>
      </c>
      <c r="V38" t="s">
        <v>120</v>
      </c>
      <c r="W38" t="s">
        <v>121</v>
      </c>
      <c r="X38" t="s">
        <v>122</v>
      </c>
      <c r="Y38" t="s">
        <v>123</v>
      </c>
      <c r="Z38" t="s">
        <v>124</v>
      </c>
      <c r="AA38" t="s">
        <v>125</v>
      </c>
      <c r="AB38" t="s">
        <v>126</v>
      </c>
      <c r="AC38" t="s">
        <v>127</v>
      </c>
      <c r="AD38" t="s">
        <v>128</v>
      </c>
      <c r="AE38" t="s">
        <v>129</v>
      </c>
      <c r="AF38" t="s">
        <v>130</v>
      </c>
      <c r="AG38" t="s">
        <v>131</v>
      </c>
      <c r="AH38" t="s">
        <v>132</v>
      </c>
      <c r="AI38" t="s">
        <v>133</v>
      </c>
      <c r="AJ38" t="s">
        <v>134</v>
      </c>
      <c r="AK38" t="s">
        <v>135</v>
      </c>
      <c r="AL38" t="s">
        <v>136</v>
      </c>
      <c r="AM38" t="s">
        <v>137</v>
      </c>
      <c r="AN38" t="s">
        <v>138</v>
      </c>
      <c r="AO38" t="s">
        <v>139</v>
      </c>
      <c r="AP38" t="s">
        <v>140</v>
      </c>
      <c r="AT38" t="s">
        <v>142</v>
      </c>
      <c r="AU38">
        <f>IF(AND(E6&gt;0,AU39=0),1,0)</f>
        <v>1</v>
      </c>
    </row>
    <row r="39" spans="1:47" x14ac:dyDescent="0.25">
      <c r="D39" s="1" t="s">
        <v>160</v>
      </c>
      <c r="E39">
        <f>IF(AND(C6&gt;0,(B6+C6=0)),1,0)</f>
        <v>0</v>
      </c>
      <c r="F39">
        <f>C6-E39</f>
        <v>1</v>
      </c>
      <c r="G39">
        <f>IF(A6&gt;0,1,0)</f>
        <v>0</v>
      </c>
      <c r="H39">
        <f>A6-G39</f>
        <v>0</v>
      </c>
      <c r="I39">
        <f>IF(AND(A6=0,B6&gt;0),1,0)</f>
        <v>1</v>
      </c>
      <c r="J39">
        <f>B6-I39</f>
        <v>0</v>
      </c>
      <c r="K39">
        <f>IF(AND(C6+D6&gt;0,A6+B6=0),1,0)</f>
        <v>0</v>
      </c>
      <c r="M39">
        <f>IF(A6&gt;0,1,0)</f>
        <v>0</v>
      </c>
      <c r="N39">
        <f>IF(B6&gt;0,1,0)</f>
        <v>1</v>
      </c>
      <c r="O39">
        <f>IF(C6&gt;0,1,0)</f>
        <v>1</v>
      </c>
      <c r="P39">
        <f>IF(A6+B6&gt;0,1,0)</f>
        <v>1</v>
      </c>
      <c r="Q39">
        <f>IF(A6+B6+C6&gt;0,1,0)</f>
        <v>1</v>
      </c>
      <c r="T39">
        <f>P39</f>
        <v>1</v>
      </c>
      <c r="U39">
        <f>Q39</f>
        <v>1</v>
      </c>
      <c r="V39">
        <f>IF(B6+C6&gt;0,1,0)</f>
        <v>1</v>
      </c>
      <c r="W39">
        <f>IF(A6+B6&gt;1,1,0)</f>
        <v>0</v>
      </c>
      <c r="X39">
        <f>IF(A6+B6+D6&gt;0,1,0)</f>
        <v>1</v>
      </c>
      <c r="Y39">
        <f>O39</f>
        <v>1</v>
      </c>
      <c r="Z39">
        <f>IF(D6&gt;0,1,0)</f>
        <v>1</v>
      </c>
      <c r="AA39">
        <f>IF(D6&gt;1,1,0)</f>
        <v>0</v>
      </c>
      <c r="AB39">
        <f>IF(AU38=1,1,0)</f>
        <v>1</v>
      </c>
      <c r="AC39">
        <f>AB39</f>
        <v>1</v>
      </c>
      <c r="AD39">
        <f>IF(AU39=1,1,0)</f>
        <v>0</v>
      </c>
      <c r="AE39">
        <f>AD39</f>
        <v>0</v>
      </c>
      <c r="AF39">
        <f>IF(SUM('lp+3'!F9:H9)=1,1,0)</f>
        <v>1</v>
      </c>
      <c r="AG39">
        <f>IF(AND(E6&gt;0,AF39=0),1,0)</f>
        <v>0</v>
      </c>
      <c r="AH39">
        <f>A6</f>
        <v>0</v>
      </c>
      <c r="AI39">
        <f>B6</f>
        <v>1</v>
      </c>
      <c r="AJ39">
        <f>C6</f>
        <v>1</v>
      </c>
      <c r="AK39">
        <f>D6</f>
        <v>1</v>
      </c>
      <c r="AM39">
        <f>IF(AND(OR(E6=1,E6=2),C6+D6&gt;0),1,0)</f>
        <v>0</v>
      </c>
      <c r="AN39">
        <f>IF(AND(OR(E6=1,E6=2),C6+D6=0),1,0)</f>
        <v>0</v>
      </c>
      <c r="AO39">
        <f>IF(AND(E6&gt;2,C6+D6&gt;0),1,0)</f>
        <v>1</v>
      </c>
      <c r="AP39">
        <f>IF(AND(E6&gt;2,C6+D6=0),1,0)</f>
        <v>0</v>
      </c>
      <c r="AT39" t="s">
        <v>143</v>
      </c>
      <c r="AU39">
        <f>IF(OR(L9=1,AND(K9=1,D6&gt;0)),1,0)</f>
        <v>0</v>
      </c>
    </row>
    <row r="40" spans="1:47" x14ac:dyDescent="0.25">
      <c r="D40" s="1" t="s">
        <v>153</v>
      </c>
      <c r="E40">
        <f>'2023 components'!R16</f>
        <v>97.808191506804391</v>
      </c>
      <c r="F40">
        <f>'2023 components'!S16</f>
        <v>97.808191506804391</v>
      </c>
      <c r="G40">
        <f>'2023 components'!T16</f>
        <v>286.44531759360001</v>
      </c>
      <c r="H40">
        <f>'2023 components'!U16</f>
        <v>286.44531759360001</v>
      </c>
      <c r="I40">
        <f>'2023 components'!V16</f>
        <v>149.5269997794</v>
      </c>
      <c r="J40">
        <f>'2023 components'!W16</f>
        <v>149.5269997794</v>
      </c>
      <c r="K40">
        <f>'2023 components'!X12</f>
        <v>0</v>
      </c>
      <c r="M40">
        <f>'2023 components'!Z14</f>
        <v>0.37155333390804135</v>
      </c>
      <c r="N40">
        <f>'2023 components'!AA14</f>
        <v>0.20981061908861412</v>
      </c>
      <c r="O40">
        <f>'2023 components'!AB14</f>
        <v>2.765499223273549E-2</v>
      </c>
      <c r="P40">
        <f>'2023 components'!AC14</f>
        <v>0.45757058606196299</v>
      </c>
      <c r="Q40">
        <f>'2023 components'!AD14</f>
        <v>0</v>
      </c>
      <c r="T40">
        <f>'2023 components'!AG17</f>
        <v>0.4427448878615744</v>
      </c>
      <c r="U40">
        <f>'2023 components'!AH17</f>
        <v>2.2037157368483872E-3</v>
      </c>
      <c r="V40">
        <f>'2023 components'!AI17</f>
        <v>4.1756156794292863E-2</v>
      </c>
      <c r="W40">
        <f>'2023 components'!AJ17</f>
        <v>1.0010745187572745</v>
      </c>
      <c r="X40">
        <f>'2023 components'!AK21</f>
        <v>1.7708063721874043</v>
      </c>
      <c r="Y40">
        <f>'2023 components'!AL21</f>
        <v>0</v>
      </c>
      <c r="Z40">
        <f>'2023 components'!AM21</f>
        <v>0</v>
      </c>
      <c r="AA40">
        <f>'2023 components'!AN21</f>
        <v>0</v>
      </c>
      <c r="AB40">
        <f>'2023 components'!AO18</f>
        <v>47.585682423790196</v>
      </c>
      <c r="AC40">
        <f>'2023 components'!AP18</f>
        <v>0.15373698674784678</v>
      </c>
      <c r="AD40">
        <f>'2023 components'!AQ18</f>
        <v>40.949750209232455</v>
      </c>
      <c r="AE40">
        <f>'2023 components'!AR18</f>
        <v>0.28419018572091292</v>
      </c>
      <c r="AF40">
        <f>'2023 components'!AS18</f>
        <v>157.17560741575514</v>
      </c>
      <c r="AG40">
        <f>'2023 components'!AT18</f>
        <v>161.25115699804385</v>
      </c>
      <c r="AH40">
        <f>'2023 components'!AU18</f>
        <v>20.911062685354459</v>
      </c>
      <c r="AI40">
        <f>'2023 components'!AV18</f>
        <v>22.813034342203263</v>
      </c>
      <c r="AJ40">
        <f>'2023 components'!AW18</f>
        <v>34.309868603155259</v>
      </c>
      <c r="AK40">
        <f>'2023 components'!AX18</f>
        <v>14.47198545602275</v>
      </c>
      <c r="AM40">
        <f>'2023 components'!AZ21</f>
        <v>20.245142765795233</v>
      </c>
      <c r="AN40">
        <f>'2023 components'!BA21</f>
        <v>8.1296785617668021</v>
      </c>
      <c r="AO40">
        <f>'2023 components'!BB21</f>
        <v>24.321346007230513</v>
      </c>
      <c r="AP40">
        <f>'2023 components'!BC21</f>
        <v>10.284878384692947</v>
      </c>
    </row>
    <row r="41" spans="1:47" x14ac:dyDescent="0.25">
      <c r="D41" s="1" t="s">
        <v>159</v>
      </c>
      <c r="E41" s="1">
        <f>E39*E40</f>
        <v>0</v>
      </c>
      <c r="F41" s="1">
        <f t="shared" ref="F41:AP41" si="2">F39*F40</f>
        <v>97.808191506804391</v>
      </c>
      <c r="G41" s="1">
        <f t="shared" si="2"/>
        <v>0</v>
      </c>
      <c r="H41" s="1">
        <f t="shared" si="2"/>
        <v>0</v>
      </c>
      <c r="I41" s="1">
        <f t="shared" si="2"/>
        <v>149.5269997794</v>
      </c>
      <c r="J41" s="1">
        <f t="shared" si="2"/>
        <v>0</v>
      </c>
      <c r="K41" s="1">
        <f t="shared" si="2"/>
        <v>0</v>
      </c>
      <c r="L41" s="1">
        <f t="shared" si="2"/>
        <v>0</v>
      </c>
      <c r="M41" s="1">
        <f t="shared" si="2"/>
        <v>0</v>
      </c>
      <c r="N41" s="1">
        <f t="shared" si="2"/>
        <v>0.20981061908861412</v>
      </c>
      <c r="O41" s="1">
        <f t="shared" si="2"/>
        <v>2.765499223273549E-2</v>
      </c>
      <c r="P41" s="1">
        <f t="shared" si="2"/>
        <v>0.45757058606196299</v>
      </c>
      <c r="Q41" s="1">
        <f t="shared" si="2"/>
        <v>0</v>
      </c>
      <c r="R41" s="1">
        <f t="shared" si="2"/>
        <v>0</v>
      </c>
      <c r="S41" s="1">
        <f t="shared" si="2"/>
        <v>0</v>
      </c>
      <c r="T41" s="1">
        <f t="shared" si="2"/>
        <v>0.4427448878615744</v>
      </c>
      <c r="U41" s="1">
        <f t="shared" si="2"/>
        <v>2.2037157368483872E-3</v>
      </c>
      <c r="V41" s="1">
        <f t="shared" si="2"/>
        <v>4.1756156794292863E-2</v>
      </c>
      <c r="W41" s="1">
        <f t="shared" si="2"/>
        <v>0</v>
      </c>
      <c r="X41" s="1">
        <f t="shared" si="2"/>
        <v>1.7708063721874043</v>
      </c>
      <c r="Y41" s="1">
        <f t="shared" si="2"/>
        <v>0</v>
      </c>
      <c r="Z41" s="1">
        <f t="shared" si="2"/>
        <v>0</v>
      </c>
      <c r="AA41" s="1">
        <f t="shared" si="2"/>
        <v>0</v>
      </c>
      <c r="AB41" s="1">
        <f t="shared" si="2"/>
        <v>47.585682423790196</v>
      </c>
      <c r="AC41" s="1">
        <f t="shared" si="2"/>
        <v>0.15373698674784678</v>
      </c>
      <c r="AD41" s="1">
        <f t="shared" si="2"/>
        <v>0</v>
      </c>
      <c r="AE41" s="1">
        <f t="shared" si="2"/>
        <v>0</v>
      </c>
      <c r="AF41" s="1">
        <f t="shared" si="2"/>
        <v>157.17560741575514</v>
      </c>
      <c r="AG41" s="1">
        <f t="shared" si="2"/>
        <v>0</v>
      </c>
      <c r="AH41" s="1">
        <f t="shared" si="2"/>
        <v>0</v>
      </c>
      <c r="AI41" s="1">
        <f t="shared" si="2"/>
        <v>22.813034342203263</v>
      </c>
      <c r="AJ41" s="1">
        <f t="shared" si="2"/>
        <v>34.309868603155259</v>
      </c>
      <c r="AK41" s="1">
        <f t="shared" si="2"/>
        <v>14.47198545602275</v>
      </c>
      <c r="AL41" s="1">
        <f t="shared" si="2"/>
        <v>0</v>
      </c>
      <c r="AM41" s="1">
        <f t="shared" si="2"/>
        <v>0</v>
      </c>
      <c r="AN41" s="1">
        <f t="shared" si="2"/>
        <v>0</v>
      </c>
      <c r="AO41" s="1">
        <f t="shared" si="2"/>
        <v>24.321346007230513</v>
      </c>
      <c r="AP41" s="1">
        <f t="shared" si="2"/>
        <v>0</v>
      </c>
    </row>
    <row r="42" spans="1:47" x14ac:dyDescent="0.25">
      <c r="D42" s="1" t="s">
        <v>87</v>
      </c>
      <c r="E42" t="s">
        <v>76</v>
      </c>
      <c r="F42" t="s">
        <v>76</v>
      </c>
      <c r="G42" t="s">
        <v>76</v>
      </c>
      <c r="H42" t="s">
        <v>76</v>
      </c>
      <c r="I42" t="s">
        <v>76</v>
      </c>
      <c r="J42" t="s">
        <v>76</v>
      </c>
      <c r="K42" t="s">
        <v>72</v>
      </c>
      <c r="M42" t="s">
        <v>7</v>
      </c>
      <c r="N42" t="s">
        <v>7</v>
      </c>
      <c r="O42" t="s">
        <v>7</v>
      </c>
      <c r="P42" t="s">
        <v>7</v>
      </c>
      <c r="Q42" t="s">
        <v>7</v>
      </c>
      <c r="T42" t="s">
        <v>154</v>
      </c>
      <c r="U42" t="s">
        <v>154</v>
      </c>
      <c r="V42" t="s">
        <v>154</v>
      </c>
      <c r="W42" t="s">
        <v>154</v>
      </c>
      <c r="X42" t="s">
        <v>155</v>
      </c>
      <c r="Y42" t="s">
        <v>155</v>
      </c>
      <c r="Z42" t="s">
        <v>155</v>
      </c>
      <c r="AA42" t="s">
        <v>155</v>
      </c>
      <c r="AB42" t="s">
        <v>10</v>
      </c>
      <c r="AC42" t="s">
        <v>10</v>
      </c>
      <c r="AD42" t="s">
        <v>10</v>
      </c>
      <c r="AE42" t="s">
        <v>10</v>
      </c>
      <c r="AF42" t="s">
        <v>10</v>
      </c>
      <c r="AG42" t="s">
        <v>10</v>
      </c>
      <c r="AH42" t="s">
        <v>10</v>
      </c>
      <c r="AI42" t="s">
        <v>10</v>
      </c>
      <c r="AJ42" t="s">
        <v>10</v>
      </c>
      <c r="AK42" t="s">
        <v>10</v>
      </c>
      <c r="AM42" t="s">
        <v>155</v>
      </c>
      <c r="AN42" t="s">
        <v>155</v>
      </c>
      <c r="AO42" t="s">
        <v>155</v>
      </c>
      <c r="AP42" t="s">
        <v>155</v>
      </c>
    </row>
    <row r="44" spans="1:47" x14ac:dyDescent="0.25">
      <c r="AC44" t="s">
        <v>156</v>
      </c>
    </row>
    <row r="45" spans="1:47" x14ac:dyDescent="0.25">
      <c r="AC45" t="s">
        <v>157</v>
      </c>
      <c r="AD45">
        <f>AB41+AD41</f>
        <v>47.585682423790196</v>
      </c>
    </row>
    <row r="46" spans="1:47" x14ac:dyDescent="0.25">
      <c r="AC46" t="s">
        <v>11</v>
      </c>
      <c r="AD46">
        <f>SUM(AF41:AK41)</f>
        <v>228.77049581713641</v>
      </c>
    </row>
    <row r="47" spans="1:47" x14ac:dyDescent="0.25">
      <c r="AC47" t="s">
        <v>158</v>
      </c>
      <c r="AD47">
        <f>SUM(AC41,AE41)*AD46</f>
        <v>35.170486683737437</v>
      </c>
    </row>
    <row r="48" spans="1:47" x14ac:dyDescent="0.25">
      <c r="AC48" t="s">
        <v>146</v>
      </c>
      <c r="AD48">
        <f>AD45+AD47</f>
        <v>82.756169107527626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8310A-5AD1-4776-A48D-9AD6D968F1AC}">
  <dimension ref="A1:AW48"/>
  <sheetViews>
    <sheetView topLeftCell="A16" zoomScaleNormal="100" workbookViewId="0">
      <pane xSplit="1" topLeftCell="S1" activePane="topRight" state="frozen"/>
      <selection activeCell="B2" sqref="B2:L24"/>
      <selection pane="topRight" activeCell="B2" sqref="B2:L24"/>
    </sheetView>
  </sheetViews>
  <sheetFormatPr defaultColWidth="8.85546875" defaultRowHeight="15" x14ac:dyDescent="0.25"/>
  <cols>
    <col min="1" max="1" width="15.42578125" customWidth="1"/>
    <col min="2" max="2" width="14" customWidth="1"/>
    <col min="4" max="4" width="11.85546875" customWidth="1"/>
    <col min="5" max="5" width="11" customWidth="1"/>
    <col min="35" max="35" width="11" customWidth="1"/>
    <col min="36" max="36" width="11.42578125" customWidth="1"/>
    <col min="37" max="37" width="14.140625" customWidth="1"/>
  </cols>
  <sheetData>
    <row r="1" spans="1:12" x14ac:dyDescent="0.25">
      <c r="A1" s="1" t="s">
        <v>141</v>
      </c>
    </row>
    <row r="2" spans="1:12" x14ac:dyDescent="0.25">
      <c r="A2" t="s">
        <v>88</v>
      </c>
      <c r="B2">
        <v>2</v>
      </c>
    </row>
    <row r="3" spans="1:12" x14ac:dyDescent="0.25">
      <c r="A3" t="s">
        <v>89</v>
      </c>
      <c r="B3">
        <v>0</v>
      </c>
    </row>
    <row r="5" spans="1:12" x14ac:dyDescent="0.25">
      <c r="A5" t="s">
        <v>55</v>
      </c>
      <c r="B5" t="s">
        <v>56</v>
      </c>
      <c r="C5" t="s">
        <v>57</v>
      </c>
      <c r="D5" t="s">
        <v>58</v>
      </c>
      <c r="E5" t="s">
        <v>90</v>
      </c>
    </row>
    <row r="6" spans="1:12" x14ac:dyDescent="0.25">
      <c r="A6">
        <v>1</v>
      </c>
      <c r="B6">
        <v>0</v>
      </c>
      <c r="C6">
        <v>0</v>
      </c>
      <c r="D6">
        <v>0</v>
      </c>
      <c r="E6">
        <f>SUM(A6:D6)</f>
        <v>1</v>
      </c>
    </row>
    <row r="8" spans="1:12" x14ac:dyDescent="0.25">
      <c r="A8" s="1" t="s">
        <v>87</v>
      </c>
      <c r="B8" t="s">
        <v>0</v>
      </c>
      <c r="C8" t="s">
        <v>1</v>
      </c>
      <c r="D8" t="s">
        <v>2</v>
      </c>
      <c r="E8" t="s">
        <v>3</v>
      </c>
      <c r="F8" t="s">
        <v>91</v>
      </c>
      <c r="G8" t="s">
        <v>92</v>
      </c>
      <c r="H8" t="s">
        <v>93</v>
      </c>
      <c r="I8" t="s">
        <v>94</v>
      </c>
      <c r="J8" t="s">
        <v>95</v>
      </c>
      <c r="K8" t="s">
        <v>96</v>
      </c>
      <c r="L8" t="s">
        <v>97</v>
      </c>
    </row>
    <row r="9" spans="1:12" x14ac:dyDescent="0.25">
      <c r="B9">
        <f>IF(AND(B2=1,E6=0),1,0)</f>
        <v>0</v>
      </c>
      <c r="C9">
        <f>IF(AND(B2=2,E6=0),1,0)</f>
        <v>0</v>
      </c>
      <c r="D9">
        <f>IF(AND(B3=1,E6=0),1,0)</f>
        <v>0</v>
      </c>
      <c r="E9">
        <f>IF(AND(B3=2,E6=0),1,0)</f>
        <v>0</v>
      </c>
      <c r="F9">
        <f>IF(AND(B2=1,E6=1),1,0)</f>
        <v>0</v>
      </c>
      <c r="G9">
        <f>IF(AND(B2=1,E6=2),1,0)</f>
        <v>0</v>
      </c>
      <c r="H9">
        <f>IF(AND(B2=1,E6=3),1,0)</f>
        <v>0</v>
      </c>
      <c r="I9">
        <f>IF(AND(B2=2,E6=1),1,0)</f>
        <v>1</v>
      </c>
      <c r="J9">
        <f>IF(AND(B2=2,E6=2),1,0)</f>
        <v>0</v>
      </c>
      <c r="K9">
        <f>IF(AND(B2=2,E6=3),1,0)</f>
        <v>0</v>
      </c>
      <c r="L9">
        <f>IF(AND(B2=2,E6=4),1,0)</f>
        <v>0</v>
      </c>
    </row>
    <row r="11" spans="1:12" x14ac:dyDescent="0.25">
      <c r="A11" s="1"/>
      <c r="B11" s="1" t="s">
        <v>146</v>
      </c>
      <c r="C11" s="10" t="s">
        <v>147</v>
      </c>
      <c r="D11" s="10" t="s">
        <v>148</v>
      </c>
      <c r="E11" s="10" t="s">
        <v>98</v>
      </c>
    </row>
    <row r="12" spans="1:12" x14ac:dyDescent="0.25">
      <c r="A12" s="9" t="s">
        <v>64</v>
      </c>
      <c r="C12" s="10"/>
      <c r="D12" s="10"/>
      <c r="E12" s="10"/>
    </row>
    <row r="13" spans="1:12" x14ac:dyDescent="0.25">
      <c r="A13" s="8" t="s">
        <v>65</v>
      </c>
      <c r="B13">
        <f>C13+D13+E13</f>
        <v>116.14355060637462</v>
      </c>
      <c r="C13" s="10">
        <f>SUM(B$9*'2023 components'!C5,C$9*'2023 components'!D5,D$9*'2023 components'!E5,E$9*'2023 components'!F5,F$9*'2023 components'!G5,G$9*'2023 components'!H5,H$9*'2023 components'!I5,I$9*'2023 components'!J5,J$9*'2023 components'!K5,K$9*'2023 components'!L5,L$9*'2023 components'!M5)</f>
        <v>92.968834259884432</v>
      </c>
      <c r="D13" s="10">
        <f>SUM(A$6*'2023 components'!N5,B$6*'2023 components'!O5,C$6*'2023 components'!P5,D$6*'2023 components'!Q5)</f>
        <v>23.174716346490182</v>
      </c>
      <c r="E13" s="10"/>
    </row>
    <row r="14" spans="1:12" x14ac:dyDescent="0.25">
      <c r="A14" s="8" t="s">
        <v>66</v>
      </c>
      <c r="B14">
        <f t="shared" ref="B14:B29" si="0">C14+D14+E14</f>
        <v>11.411996649459066</v>
      </c>
      <c r="C14" s="10">
        <f>SUM(B$9*'2023 components'!C6,C$9*'2023 components'!D6,D$9*'2023 components'!E6,E$9*'2023 components'!F6,F$9*'2023 components'!G6,G$9*'2023 components'!H6,H$9*'2023 components'!I6,I$9*'2023 components'!J6,J$9*'2023 components'!K6,K$9*'2023 components'!L6,L$9*'2023 components'!M6)</f>
        <v>11.411996649459066</v>
      </c>
      <c r="D14" s="10">
        <f>SUM(A$6*'2023 components'!N6,B$6*'2023 components'!O6,C$6*'2023 components'!P6,D$6*'2023 components'!Q6)</f>
        <v>0</v>
      </c>
      <c r="E14" s="10"/>
    </row>
    <row r="15" spans="1:12" x14ac:dyDescent="0.25">
      <c r="A15" s="8" t="s">
        <v>67</v>
      </c>
      <c r="B15">
        <f t="shared" si="0"/>
        <v>0</v>
      </c>
      <c r="C15" s="10">
        <f>SUM(B$9*'2023 components'!C7,C$9*'2023 components'!D7,D$9*'2023 components'!E7,E$9*'2023 components'!F7,F$9*'2023 components'!G7,G$9*'2023 components'!H7,H$9*'2023 components'!I7,I$9*'2023 components'!J7,J$9*'2023 components'!K7,K$9*'2023 components'!L7,L$9*'2023 components'!M7)</f>
        <v>0</v>
      </c>
      <c r="D15" s="10">
        <f>SUM(A$6*'2023 components'!N7,B$6*'2023 components'!O7,C$6*'2023 components'!P7,D$6*'2023 components'!Q7)</f>
        <v>0</v>
      </c>
      <c r="E15" s="10"/>
    </row>
    <row r="16" spans="1:12" x14ac:dyDescent="0.25">
      <c r="A16" s="8" t="s">
        <v>68</v>
      </c>
      <c r="B16">
        <f t="shared" si="0"/>
        <v>38.502916363451391</v>
      </c>
      <c r="C16" s="10">
        <f>SUM(B$9*'2023 components'!C8,C$9*'2023 components'!D8,D$9*'2023 components'!E8,E$9*'2023 components'!F8,F$9*'2023 components'!G8,G$9*'2023 components'!H8,H$9*'2023 components'!I8,I$9*'2023 components'!J8,J$9*'2023 components'!K8,K$9*'2023 components'!L8,L$9*'2023 components'!M8)</f>
        <v>27.363729007119129</v>
      </c>
      <c r="D16" s="10">
        <f>SUM(A$6*'2023 components'!N8,B$6*'2023 components'!O8,C$6*'2023 components'!P8,D$6*'2023 components'!Q8)</f>
        <v>11.139187356332263</v>
      </c>
      <c r="E16" s="10"/>
    </row>
    <row r="17" spans="1:11" x14ac:dyDescent="0.25">
      <c r="A17" s="8" t="s">
        <v>69</v>
      </c>
      <c r="B17">
        <f t="shared" si="0"/>
        <v>11.922694497153699</v>
      </c>
      <c r="C17" s="10">
        <f>SUM(B$9*'2023 components'!C9,C$9*'2023 components'!D9,D$9*'2023 components'!E9,E$9*'2023 components'!F9,F$9*'2023 components'!G9,G$9*'2023 components'!H9,H$9*'2023 components'!I9,I$9*'2023 components'!J9,J$9*'2023 components'!K9,K$9*'2023 components'!L9,L$9*'2023 components'!M9)</f>
        <v>11.922694497153699</v>
      </c>
      <c r="D17" s="10">
        <f>SUM(A$6*'2023 components'!N9,B$6*'2023 components'!O9,C$6*'2023 components'!P9,D$6*'2023 components'!Q9)</f>
        <v>0</v>
      </c>
      <c r="E17" s="10"/>
    </row>
    <row r="18" spans="1:11" x14ac:dyDescent="0.25">
      <c r="A18" s="8" t="s">
        <v>70</v>
      </c>
      <c r="B18">
        <f t="shared" si="0"/>
        <v>32.174177777777778</v>
      </c>
      <c r="C18" s="10">
        <f>SUM(B$9*'2023 components'!C10,C$9*'2023 components'!D10,D$9*'2023 components'!E10,E$9*'2023 components'!F10,F$9*'2023 components'!G10,G$9*'2023 components'!H10,H$9*'2023 components'!I10,I$9*'2023 components'!J10,J$9*'2023 components'!K10,K$9*'2023 components'!L10,L$9*'2023 components'!M10)</f>
        <v>32.174177777777778</v>
      </c>
      <c r="D18" s="10">
        <f>SUM(A$6*'2023 components'!N10,B$6*'2023 components'!O10,C$6*'2023 components'!P10,D$6*'2023 components'!Q10)</f>
        <v>0</v>
      </c>
      <c r="E18" s="10"/>
    </row>
    <row r="19" spans="1:11" x14ac:dyDescent="0.25">
      <c r="A19" s="8" t="s">
        <v>71</v>
      </c>
      <c r="B19">
        <f t="shared" si="0"/>
        <v>1.7336101645189685</v>
      </c>
      <c r="C19" s="10">
        <f>SUM(B$9*'2023 components'!C11,C$9*'2023 components'!D11,D$9*'2023 components'!E11,E$9*'2023 components'!F11,F$9*'2023 components'!G11,G$9*'2023 components'!H11,H$9*'2023 components'!I11,I$9*'2023 components'!J11,J$9*'2023 components'!K11,K$9*'2023 components'!L11,L$9*'2023 components'!M11)</f>
        <v>1.7336101645189685</v>
      </c>
      <c r="D19" s="10">
        <f>SUM(A$6*'2023 components'!N11,B$6*'2023 components'!O11,C$6*'2023 components'!P11,D$6*'2023 components'!Q11)</f>
        <v>0</v>
      </c>
      <c r="E19" s="10"/>
    </row>
    <row r="20" spans="1:11" x14ac:dyDescent="0.25">
      <c r="A20" s="8" t="s">
        <v>72</v>
      </c>
      <c r="B20">
        <f t="shared" si="0"/>
        <v>55.826490135068504</v>
      </c>
      <c r="C20" s="10">
        <f>SUM(B$9*'2023 components'!C12,C$9*'2023 components'!D12,D$9*'2023 components'!E12,E$9*'2023 components'!F12,F$9*'2023 components'!G12,G$9*'2023 components'!H12,H$9*'2023 components'!I12,I$9*'2023 components'!J12,J$9*'2023 components'!K12,K$9*'2023 components'!L12,L$9*'2023 components'!M12)</f>
        <v>55.826490135068504</v>
      </c>
      <c r="D20" s="10">
        <f>SUM(A$6*'2023 components'!N12,B$6*'2023 components'!O12,C$6*'2023 components'!P12,D$6*'2023 components'!Q12)</f>
        <v>0</v>
      </c>
      <c r="E20" s="10">
        <f>K41</f>
        <v>0</v>
      </c>
    </row>
    <row r="21" spans="1:11" x14ac:dyDescent="0.25">
      <c r="A21" s="8" t="s">
        <v>73</v>
      </c>
      <c r="B21">
        <f t="shared" si="0"/>
        <v>2.1941982272361029</v>
      </c>
      <c r="C21" s="10">
        <f>SUM(B$9*'2023 components'!C13,C$9*'2023 components'!D13,D$9*'2023 components'!E13,E$9*'2023 components'!F13,F$9*'2023 components'!G13,G$9*'2023 components'!H13,H$9*'2023 components'!I13,I$9*'2023 components'!J13,J$9*'2023 components'!K13,K$9*'2023 components'!L13,L$9*'2023 components'!M13)</f>
        <v>2.1941982272361029</v>
      </c>
      <c r="D21" s="10">
        <f>SUM(A$6*'2023 components'!N13,B$6*'2023 components'!O13,C$6*'2023 components'!P13,D$6*'2023 components'!Q13)</f>
        <v>0</v>
      </c>
      <c r="E21" s="10"/>
    </row>
    <row r="22" spans="1:11" x14ac:dyDescent="0.25">
      <c r="A22" s="8" t="s">
        <v>74</v>
      </c>
      <c r="B22">
        <f t="shared" si="0"/>
        <v>30.881305659227252</v>
      </c>
      <c r="C22" s="10">
        <f>SUM(B$9*'2023 components'!C14,C$9*'2023 components'!D14,D$9*'2023 components'!E14,E$9*'2023 components'!F14,F$9*'2023 components'!G14,G$9*'2023 components'!H14,H$9*'2023 components'!I14,I$9*'2023 components'!J14,J$9*'2023 components'!K14,K$9*'2023 components'!L14,L$9*'2023 components'!M14)</f>
        <v>25.929501802938582</v>
      </c>
      <c r="D22" s="10">
        <f>SUM(A$6*'2023 components'!N14,B$6*'2023 components'!O14,C$6*'2023 components'!P14,D$6*'2023 components'!Q14)</f>
        <v>4.122679936318665</v>
      </c>
      <c r="E22" s="10">
        <f>SUM(M41:Q41)</f>
        <v>0.82912391997000434</v>
      </c>
    </row>
    <row r="23" spans="1:11" x14ac:dyDescent="0.25">
      <c r="A23" s="8" t="s">
        <v>75</v>
      </c>
      <c r="B23">
        <f t="shared" si="0"/>
        <v>11.965218785372629</v>
      </c>
      <c r="C23" s="10">
        <f>SUM(B$9*'2023 components'!C15,C$9*'2023 components'!D15,D$9*'2023 components'!E15,E$9*'2023 components'!F15,F$9*'2023 components'!G15,G$9*'2023 components'!H15,H$9*'2023 components'!I15,I$9*'2023 components'!J15,J$9*'2023 components'!K15,K$9*'2023 components'!L15,L$9*'2023 components'!M15)</f>
        <v>11.965218785372629</v>
      </c>
      <c r="D23" s="10">
        <f>SUM(A$6*'2023 components'!N15,B$6*'2023 components'!O15,C$6*'2023 components'!P15,D$6*'2023 components'!Q15)</f>
        <v>0</v>
      </c>
      <c r="E23" s="10"/>
    </row>
    <row r="24" spans="1:11" x14ac:dyDescent="0.25">
      <c r="A24" s="8" t="s">
        <v>76</v>
      </c>
      <c r="B24">
        <f t="shared" si="0"/>
        <v>286.44531759360001</v>
      </c>
      <c r="C24" s="10">
        <f>SUM(B$9*'2023 components'!C16,C$9*'2023 components'!D16,D$9*'2023 components'!E16,E$9*'2023 components'!F16,F$9*'2023 components'!G16,G$9*'2023 components'!H16,H$9*'2023 components'!I16,I$9*'2023 components'!J16,J$9*'2023 components'!K16,K$9*'2023 components'!L16,L$9*'2023 components'!M16)</f>
        <v>0</v>
      </c>
      <c r="D24" s="10">
        <f>SUM(A$6*'2023 components'!N16,B$6*'2023 components'!O16,C$6*'2023 components'!P16,D$6*'2023 components'!Q16)</f>
        <v>0</v>
      </c>
      <c r="E24" s="10">
        <f>SUM(E41:J41)</f>
        <v>286.44531759360001</v>
      </c>
    </row>
    <row r="25" spans="1:11" x14ac:dyDescent="0.25">
      <c r="A25" s="8" t="s">
        <v>77</v>
      </c>
      <c r="B25">
        <f t="shared" si="0"/>
        <v>52.16374080361453</v>
      </c>
      <c r="C25" s="10">
        <f>SUM(B$9*'2023 components'!C17,C$9*'2023 components'!D17,D$9*'2023 components'!E17,E$9*'2023 components'!F17,F$9*'2023 components'!G17,G$9*'2023 components'!H17,H$9*'2023 components'!I17,I$9*'2023 components'!J17,J$9*'2023 components'!K17,K$9*'2023 components'!L17,L$9*'2023 components'!M17)</f>
        <v>37.639566432157579</v>
      </c>
      <c r="D25" s="10">
        <f>SUM(A$6*'2023 components'!N17,B$6*'2023 components'!O17,C$6*'2023 components'!P17,D$6*'2023 components'!Q17)</f>
        <v>14.079225767858535</v>
      </c>
      <c r="E25" s="10">
        <f>SUM(T41:W41)</f>
        <v>0.44494860359842281</v>
      </c>
    </row>
    <row r="26" spans="1:11" x14ac:dyDescent="0.25">
      <c r="A26" s="8" t="s">
        <v>10</v>
      </c>
      <c r="B26">
        <f t="shared" si="0"/>
        <v>75.590753177215163</v>
      </c>
      <c r="C26" s="10">
        <f>SUM(B$9*'2023 components'!C18,C$9*'2023 components'!D18,D$9*'2023 components'!E18,E$9*'2023 components'!F18,F$9*'2023 components'!G18,G$9*'2023 components'!H18,H$9*'2023 components'!I18,I$9*'2023 components'!J18,J$9*'2023 components'!K18,K$9*'2023 components'!L18,L$9*'2023 components'!M18)</f>
        <v>0</v>
      </c>
      <c r="D26" s="10">
        <f>SUM(A$6*'2023 components'!N18,B$6*'2023 components'!O18,C$6*'2023 components'!P18,D$6*'2023 components'!Q18)</f>
        <v>0</v>
      </c>
      <c r="E26" s="10">
        <f>AD48</f>
        <v>75.590753177215163</v>
      </c>
    </row>
    <row r="27" spans="1:11" x14ac:dyDescent="0.25">
      <c r="A27" s="8" t="s">
        <v>78</v>
      </c>
      <c r="B27">
        <f t="shared" si="0"/>
        <v>44.967657014993087</v>
      </c>
      <c r="C27">
        <f>I27+I28</f>
        <v>44.967657014993087</v>
      </c>
      <c r="D27">
        <f t="shared" ref="D27:E27" si="1">J27+J28</f>
        <v>0</v>
      </c>
      <c r="E27">
        <f t="shared" si="1"/>
        <v>0</v>
      </c>
      <c r="G27" t="s">
        <v>169</v>
      </c>
      <c r="H27">
        <f>I27+J27+K27</f>
        <v>28.501833740831302</v>
      </c>
      <c r="I27" s="10">
        <f>SUM(B$9*'2023 components'!C19,C$9*'2023 components'!D19,D$9*'2023 components'!E19,E$9*'2023 components'!F19,F$9*'2023 components'!G19,G$9*'2023 components'!H19,H$9*'2023 components'!I19,I$9*'2023 components'!J19,J$9*'2023 components'!K19,K$9*'2023 components'!L19,L$9*'2023 components'!M19)</f>
        <v>28.501833740831302</v>
      </c>
      <c r="J27" s="10">
        <f>SUM(A$6*'2023 components'!N19,B$6*'2023 components'!O19,C$6*'2023 components'!P19,D$6*'2023 components'!Q19)</f>
        <v>0</v>
      </c>
      <c r="K27" s="10"/>
    </row>
    <row r="28" spans="1:11" x14ac:dyDescent="0.25">
      <c r="A28" s="8" t="s">
        <v>79</v>
      </c>
      <c r="B28">
        <f t="shared" si="0"/>
        <v>73.805847191313973</v>
      </c>
      <c r="C28" s="10">
        <f>SUM(B$9*'2023 components'!C21,C$9*'2023 components'!D21,D$9*'2023 components'!E21,E$9*'2023 components'!F21,F$9*'2023 components'!G21,G$9*'2023 components'!H21,H$9*'2023 components'!I21,I$9*'2023 components'!J21,J$9*'2023 components'!K21,K$9*'2023 components'!L21,L$9*'2023 components'!M21)</f>
        <v>49.992519752838454</v>
      </c>
      <c r="D28" s="10">
        <f>SUM(A$6*'2023 components'!N21,B$6*'2023 components'!O21,C$6*'2023 components'!P21,D$6*'2023 components'!Q21)</f>
        <v>13.6251712716446</v>
      </c>
      <c r="E28" s="10">
        <f>SUM(X41:AA41)+SUM(AM41:AU41)</f>
        <v>10.18815616683092</v>
      </c>
      <c r="G28" t="s">
        <v>170</v>
      </c>
      <c r="H28">
        <f>I28+J28+K28</f>
        <v>16.465823274161785</v>
      </c>
      <c r="I28" s="10">
        <f>SUM(B$9*'2023 components'!C20,C$9*'2023 components'!D20,D$9*'2023 components'!E20,E$9*'2023 components'!F20,F$9*'2023 components'!G20,G$9*'2023 components'!H20,H$9*'2023 components'!I20,I$9*'2023 components'!J20,J$9*'2023 components'!K20,K$9*'2023 components'!L20,L$9*'2023 components'!M20)</f>
        <v>16.465823274161785</v>
      </c>
      <c r="J28" s="10">
        <f>SUM(A$6*'2023 components'!N20,B$6*'2023 components'!O20,C$6*'2023 components'!P20,D$6*'2023 components'!Q20)</f>
        <v>0</v>
      </c>
      <c r="K28" s="10"/>
    </row>
    <row r="29" spans="1:11" x14ac:dyDescent="0.25">
      <c r="A29" s="8" t="s">
        <v>80</v>
      </c>
      <c r="B29">
        <f t="shared" si="0"/>
        <v>100.39786761714036</v>
      </c>
      <c r="C29" s="10">
        <f>SUM(B$9*'2023 components'!C22,C$9*'2023 components'!D22,D$9*'2023 components'!E22,E$9*'2023 components'!F22,F$9*'2023 components'!G22,G$9*'2023 components'!H22,H$9*'2023 components'!I22,I$9*'2023 components'!J22,J$9*'2023 components'!K22,K$9*'2023 components'!L22,L$9*'2023 components'!M22)</f>
        <v>100.39786761714036</v>
      </c>
      <c r="D29" s="10">
        <f>SUM(A$6*'2023 components'!N22,B$6*'2023 components'!O22,C$6*'2023 components'!P22,D$6*'2023 components'!Q22)</f>
        <v>0</v>
      </c>
      <c r="E29" s="10"/>
    </row>
    <row r="30" spans="1:11" x14ac:dyDescent="0.25">
      <c r="E30" s="10"/>
    </row>
    <row r="33" spans="1:49" x14ac:dyDescent="0.25">
      <c r="A33" s="11" t="s">
        <v>78</v>
      </c>
      <c r="B33" s="11" t="s">
        <v>149</v>
      </c>
      <c r="C33" s="11">
        <f>SUM(B$9*'2023 components'!C17,C$9*'2023 components'!D17,D$9*'2023 components'!E17,E$9*'2023 components'!F17,F$9*'2023 components'!G17,G$9*'2023 components'!H17,H$9*'2023 components'!I17,I$9*'2023 components'!J17,J$9*'2023 components'!K17,K$9*'2023 components'!L17,L$9*'2023 components'!M17)</f>
        <v>37.639566432157579</v>
      </c>
      <c r="D33" s="10">
        <f>SUM(A$6*'2023 components'!N17,B$6*'2023 components'!O17,C$6*'2023 components'!P17,D$6*'2023 components'!Q17)</f>
        <v>14.079225767858535</v>
      </c>
    </row>
    <row r="34" spans="1:49" x14ac:dyDescent="0.25">
      <c r="A34" s="11"/>
      <c r="B34" s="11" t="s">
        <v>150</v>
      </c>
      <c r="C34" s="11">
        <f>SUM(B$9*'2023 components'!C18,C$9*'2023 components'!D18,D$9*'2023 components'!E18,E$9*'2023 components'!F18,F$9*'2023 components'!G18,G$9*'2023 components'!H18,H$9*'2023 components'!I18,I$9*'2023 components'!J18,J$9*'2023 components'!K18,K$9*'2023 components'!L18,L$9*'2023 components'!M18)</f>
        <v>0</v>
      </c>
      <c r="D34" s="10">
        <f>SUM(A$6*'2023 components'!N18,B$6*'2023 components'!O18,C$6*'2023 components'!P18,D$6*'2023 components'!Q18)</f>
        <v>0</v>
      </c>
    </row>
    <row r="35" spans="1:49" x14ac:dyDescent="0.25">
      <c r="A35" s="11"/>
      <c r="B35" s="11" t="s">
        <v>151</v>
      </c>
      <c r="C35" s="11">
        <f>C33+C34</f>
        <v>37.639566432157579</v>
      </c>
      <c r="D35" s="11">
        <f>D33+D34</f>
        <v>14.079225767858535</v>
      </c>
    </row>
    <row r="37" spans="1:49" ht="45" x14ac:dyDescent="0.25">
      <c r="E37" t="s">
        <v>28</v>
      </c>
      <c r="F37" t="s">
        <v>29</v>
      </c>
      <c r="G37" t="s">
        <v>30</v>
      </c>
      <c r="H37" t="s">
        <v>31</v>
      </c>
      <c r="I37" t="s">
        <v>32</v>
      </c>
      <c r="J37" t="s">
        <v>33</v>
      </c>
      <c r="K37" t="s">
        <v>34</v>
      </c>
      <c r="L37" t="s">
        <v>35</v>
      </c>
      <c r="M37" t="s">
        <v>36</v>
      </c>
      <c r="N37" t="s">
        <v>37</v>
      </c>
      <c r="O37" t="s">
        <v>38</v>
      </c>
      <c r="P37" t="s">
        <v>39</v>
      </c>
      <c r="Q37" t="s">
        <v>40</v>
      </c>
      <c r="R37" t="s">
        <v>41</v>
      </c>
      <c r="S37" t="s">
        <v>42</v>
      </c>
      <c r="T37" t="s">
        <v>39</v>
      </c>
      <c r="U37" t="s">
        <v>40</v>
      </c>
      <c r="V37" t="s">
        <v>99</v>
      </c>
      <c r="W37" s="3" t="s">
        <v>44</v>
      </c>
      <c r="X37" t="s">
        <v>100</v>
      </c>
      <c r="Y37" t="s">
        <v>101</v>
      </c>
      <c r="Z37" t="s">
        <v>102</v>
      </c>
      <c r="AA37" t="s">
        <v>48</v>
      </c>
      <c r="AB37" t="s">
        <v>49</v>
      </c>
      <c r="AC37" t="s">
        <v>50</v>
      </c>
      <c r="AD37" t="s">
        <v>51</v>
      </c>
      <c r="AE37" t="s">
        <v>52</v>
      </c>
      <c r="AF37" t="s">
        <v>53</v>
      </c>
      <c r="AG37" t="s">
        <v>54</v>
      </c>
      <c r="AH37" t="s">
        <v>55</v>
      </c>
      <c r="AI37" t="s">
        <v>56</v>
      </c>
      <c r="AJ37" t="s">
        <v>57</v>
      </c>
      <c r="AK37" t="s">
        <v>58</v>
      </c>
      <c r="AL37" t="s">
        <v>145</v>
      </c>
      <c r="AM37" t="s">
        <v>60</v>
      </c>
      <c r="AN37" t="s">
        <v>61</v>
      </c>
      <c r="AO37" t="s">
        <v>62</v>
      </c>
      <c r="AP37" t="s">
        <v>63</v>
      </c>
    </row>
    <row r="38" spans="1:49" ht="45" x14ac:dyDescent="0.25">
      <c r="D38" s="12" t="s">
        <v>152</v>
      </c>
      <c r="E38" t="s">
        <v>103</v>
      </c>
      <c r="F38" t="s">
        <v>104</v>
      </c>
      <c r="G38" t="s">
        <v>105</v>
      </c>
      <c r="H38" t="s">
        <v>106</v>
      </c>
      <c r="I38" t="s">
        <v>107</v>
      </c>
      <c r="J38" t="s">
        <v>108</v>
      </c>
      <c r="K38" t="s">
        <v>109</v>
      </c>
      <c r="L38" t="s">
        <v>110</v>
      </c>
      <c r="M38" t="s">
        <v>111</v>
      </c>
      <c r="N38" t="s">
        <v>112</v>
      </c>
      <c r="O38" t="s">
        <v>113</v>
      </c>
      <c r="P38" t="s">
        <v>114</v>
      </c>
      <c r="Q38" t="s">
        <v>115</v>
      </c>
      <c r="R38" t="s">
        <v>116</v>
      </c>
      <c r="S38" t="s">
        <v>117</v>
      </c>
      <c r="T38" t="s">
        <v>118</v>
      </c>
      <c r="U38" t="s">
        <v>119</v>
      </c>
      <c r="V38" t="s">
        <v>120</v>
      </c>
      <c r="W38" t="s">
        <v>121</v>
      </c>
      <c r="X38" t="s">
        <v>122</v>
      </c>
      <c r="Y38" t="s">
        <v>123</v>
      </c>
      <c r="Z38" t="s">
        <v>124</v>
      </c>
      <c r="AA38" t="s">
        <v>125</v>
      </c>
      <c r="AB38" t="s">
        <v>126</v>
      </c>
      <c r="AC38" t="s">
        <v>127</v>
      </c>
      <c r="AD38" t="s">
        <v>128</v>
      </c>
      <c r="AE38" t="s">
        <v>129</v>
      </c>
      <c r="AF38" t="s">
        <v>130</v>
      </c>
      <c r="AG38" t="s">
        <v>131</v>
      </c>
      <c r="AH38" t="s">
        <v>132</v>
      </c>
      <c r="AI38" t="s">
        <v>133</v>
      </c>
      <c r="AJ38" t="s">
        <v>134</v>
      </c>
      <c r="AK38" t="s">
        <v>135</v>
      </c>
      <c r="AL38" t="s">
        <v>136</v>
      </c>
      <c r="AM38" t="s">
        <v>137</v>
      </c>
      <c r="AN38" t="s">
        <v>138</v>
      </c>
      <c r="AO38" t="s">
        <v>139</v>
      </c>
      <c r="AP38" t="s">
        <v>140</v>
      </c>
      <c r="AQ38" t="s">
        <v>245</v>
      </c>
      <c r="AR38" t="s">
        <v>246</v>
      </c>
      <c r="AS38" t="s">
        <v>247</v>
      </c>
      <c r="AT38" t="s">
        <v>248</v>
      </c>
      <c r="AU38" t="s">
        <v>249</v>
      </c>
      <c r="AV38" t="s">
        <v>144</v>
      </c>
    </row>
    <row r="39" spans="1:49" x14ac:dyDescent="0.25">
      <c r="D39" s="1" t="s">
        <v>160</v>
      </c>
      <c r="E39">
        <f>IF(AND(C6&gt;0,(B6+C6=0)),1,0)</f>
        <v>0</v>
      </c>
      <c r="F39">
        <f>C6-E39</f>
        <v>0</v>
      </c>
      <c r="G39">
        <f>IF(A6&gt;0,1,0)</f>
        <v>1</v>
      </c>
      <c r="H39">
        <f>A6-G39</f>
        <v>0</v>
      </c>
      <c r="I39">
        <f>IF(AND(A6=0,B6&gt;0),1,0)</f>
        <v>0</v>
      </c>
      <c r="J39">
        <f>B6-I39</f>
        <v>0</v>
      </c>
      <c r="K39">
        <f>IF(AND(C6+D6&gt;0,A6+B6=0),1,0)</f>
        <v>0</v>
      </c>
      <c r="M39">
        <f>IF(A6&gt;0,1,0)</f>
        <v>1</v>
      </c>
      <c r="N39">
        <f>IF(B6&gt;0,1,0)</f>
        <v>0</v>
      </c>
      <c r="O39">
        <f>IF(C6&gt;0,1,0)</f>
        <v>0</v>
      </c>
      <c r="P39">
        <f>IF(A6+B6&gt;0,1,0)</f>
        <v>1</v>
      </c>
      <c r="Q39">
        <f>IF(A6+B6+C6&gt;0,1,0)</f>
        <v>1</v>
      </c>
      <c r="T39">
        <f>P39</f>
        <v>1</v>
      </c>
      <c r="U39">
        <f>Q39</f>
        <v>1</v>
      </c>
      <c r="V39">
        <f>IF(B6+C6&gt;0,1,0)</f>
        <v>0</v>
      </c>
      <c r="W39">
        <f>IF(A6+B6&gt;1,1,0)</f>
        <v>0</v>
      </c>
      <c r="X39">
        <f>IF(A6+B6+D6&gt;0,1,0)</f>
        <v>1</v>
      </c>
      <c r="Y39">
        <f>O39</f>
        <v>0</v>
      </c>
      <c r="Z39">
        <f>IF(D6&gt;0,1,0)</f>
        <v>0</v>
      </c>
      <c r="AA39">
        <f>IF(D6&gt;1,1,0)</f>
        <v>0</v>
      </c>
      <c r="AB39">
        <f>IF(AW39=1,1,0)</f>
        <v>1</v>
      </c>
      <c r="AC39">
        <f>AB39</f>
        <v>1</v>
      </c>
      <c r="AD39">
        <f>IF(AW40=1,1,0)</f>
        <v>0</v>
      </c>
      <c r="AE39">
        <f>AD39</f>
        <v>0</v>
      </c>
      <c r="AF39">
        <f>IF(SUM(F9:H9)=1,1,0)</f>
        <v>0</v>
      </c>
      <c r="AG39">
        <f>IF(AND(E6&gt;0,AF39=0),1,0)</f>
        <v>1</v>
      </c>
      <c r="AH39">
        <f>A6</f>
        <v>1</v>
      </c>
      <c r="AI39">
        <f>B6</f>
        <v>0</v>
      </c>
      <c r="AJ39">
        <f>C6</f>
        <v>0</v>
      </c>
      <c r="AK39">
        <f>D6</f>
        <v>0</v>
      </c>
      <c r="AM39">
        <f>IF(AND(OR(E6=1,E6=2),C6+D6&gt;0),1,0)</f>
        <v>0</v>
      </c>
      <c r="AN39">
        <f>IF(AND(OR(E6=1,E6=2),C6+D6=0),1,0)</f>
        <v>1</v>
      </c>
      <c r="AO39">
        <f>IF(AND(E6&gt;2,C6+D6&gt;0),1,0)</f>
        <v>0</v>
      </c>
      <c r="AP39">
        <f>IF(AND(E6&gt;2,C6+D6=0),1,0)</f>
        <v>0</v>
      </c>
      <c r="AQ39">
        <f>IF(AND(A6+B6&gt;0,C6+D6=0),1,0)</f>
        <v>1</v>
      </c>
      <c r="AR39">
        <f>IF(AND(E6=2,C6+D6=2),1,0)</f>
        <v>0</v>
      </c>
      <c r="AS39">
        <f>IF(AND(E6=3,C6+D6=3),1,0)</f>
        <v>0</v>
      </c>
      <c r="AT39">
        <f>IF(AND(E6=4,C6+D6=4),1,0)</f>
        <v>0</v>
      </c>
      <c r="AU39">
        <f>IF(AND(E6&gt;2,C6+D6&gt;2),1,0)</f>
        <v>0</v>
      </c>
      <c r="AV39" t="s">
        <v>142</v>
      </c>
      <c r="AW39">
        <f>IF(AND(E6&gt;0,AW40=0),1,0)</f>
        <v>1</v>
      </c>
    </row>
    <row r="40" spans="1:49" x14ac:dyDescent="0.25">
      <c r="D40" s="1" t="s">
        <v>153</v>
      </c>
      <c r="E40">
        <f>'2023 components'!R16</f>
        <v>97.808191506804391</v>
      </c>
      <c r="F40">
        <f>'2023 components'!S16</f>
        <v>97.808191506804391</v>
      </c>
      <c r="G40">
        <f>'2023 components'!T16</f>
        <v>286.44531759360001</v>
      </c>
      <c r="H40">
        <f>'2023 components'!U16</f>
        <v>286.44531759360001</v>
      </c>
      <c r="I40">
        <f>'2023 components'!V16</f>
        <v>149.5269997794</v>
      </c>
      <c r="J40">
        <f>'2023 components'!W16</f>
        <v>149.5269997794</v>
      </c>
      <c r="K40">
        <f>'2023 components'!X12</f>
        <v>0</v>
      </c>
      <c r="M40">
        <f>'2023 components'!Z14</f>
        <v>0.37155333390804135</v>
      </c>
      <c r="N40">
        <f>'2023 components'!AA14</f>
        <v>0.20981061908861412</v>
      </c>
      <c r="O40">
        <f>'2023 components'!AB14</f>
        <v>2.765499223273549E-2</v>
      </c>
      <c r="P40">
        <f>'2023 components'!AC14</f>
        <v>0.45757058606196299</v>
      </c>
      <c r="Q40">
        <f>'2023 components'!AD14</f>
        <v>0</v>
      </c>
      <c r="T40">
        <f>'2023 components'!AG17</f>
        <v>0.4427448878615744</v>
      </c>
      <c r="U40">
        <f>'2023 components'!AH17</f>
        <v>2.2037157368483872E-3</v>
      </c>
      <c r="V40">
        <f>'2023 components'!AI17</f>
        <v>4.1756156794292863E-2</v>
      </c>
      <c r="W40">
        <f>'2023 components'!AJ17</f>
        <v>1.0010745187572745</v>
      </c>
      <c r="X40">
        <f>'2023 components'!AK21</f>
        <v>1.7708063721874043</v>
      </c>
      <c r="Y40">
        <f>'2023 components'!AL21</f>
        <v>0</v>
      </c>
      <c r="Z40">
        <f>'2023 components'!AM21</f>
        <v>0</v>
      </c>
      <c r="AA40">
        <f>'2023 components'!AN21</f>
        <v>0</v>
      </c>
      <c r="AB40">
        <f>'2023 components'!AO18</f>
        <v>47.585682423790196</v>
      </c>
      <c r="AC40">
        <f>'2023 components'!AP18</f>
        <v>0.15373698674784678</v>
      </c>
      <c r="AD40">
        <f>'2023 components'!AQ18</f>
        <v>40.949750209232455</v>
      </c>
      <c r="AE40">
        <f>'2023 components'!AR18</f>
        <v>0.28419018572091292</v>
      </c>
      <c r="AF40" s="20">
        <f>'2023 components'!AS18</f>
        <v>157.17560741575514</v>
      </c>
      <c r="AG40">
        <f>'2023 components'!AT18</f>
        <v>161.25115699804385</v>
      </c>
      <c r="AH40">
        <f>'2023 components'!AU18</f>
        <v>20.911062685354459</v>
      </c>
      <c r="AI40">
        <f>'2023 components'!AV18</f>
        <v>22.813034342203263</v>
      </c>
      <c r="AJ40">
        <f>'2023 components'!AW18</f>
        <v>34.309868603155259</v>
      </c>
      <c r="AK40">
        <f>'2023 components'!AX18</f>
        <v>14.47198545602275</v>
      </c>
      <c r="AM40">
        <f>'2023 components'!AZ21</f>
        <v>20.245142765795233</v>
      </c>
      <c r="AN40">
        <f>'2023 components'!BA21</f>
        <v>8.1296785617668021</v>
      </c>
      <c r="AO40">
        <f>'2023 components'!BB21</f>
        <v>24.321346007230513</v>
      </c>
      <c r="AP40">
        <f>'2023 components'!BC21</f>
        <v>10.284878384692947</v>
      </c>
      <c r="AQ40">
        <v>0.28767123287671231</v>
      </c>
      <c r="AR40">
        <v>1.7195707762557075</v>
      </c>
      <c r="AS40">
        <v>1.9050228310502282</v>
      </c>
      <c r="AT40">
        <v>2.8575342465753422</v>
      </c>
      <c r="AU40">
        <v>0.96</v>
      </c>
      <c r="AV40" t="s">
        <v>143</v>
      </c>
      <c r="AW40">
        <f>IF(OR(L9=1,AND(K9=1,D6&lt;3),AND(H9=1,D6=0)),1,0)</f>
        <v>0</v>
      </c>
    </row>
    <row r="41" spans="1:49" x14ac:dyDescent="0.25">
      <c r="D41" s="1" t="s">
        <v>159</v>
      </c>
      <c r="E41" s="1">
        <f>E39*E40</f>
        <v>0</v>
      </c>
      <c r="F41" s="1">
        <f t="shared" ref="F41:AU41" si="2">F39*F40</f>
        <v>0</v>
      </c>
      <c r="G41" s="1">
        <f t="shared" si="2"/>
        <v>286.44531759360001</v>
      </c>
      <c r="H41" s="1">
        <f t="shared" si="2"/>
        <v>0</v>
      </c>
      <c r="I41" s="1">
        <f t="shared" si="2"/>
        <v>0</v>
      </c>
      <c r="J41" s="1">
        <f t="shared" si="2"/>
        <v>0</v>
      </c>
      <c r="K41" s="1">
        <f t="shared" si="2"/>
        <v>0</v>
      </c>
      <c r="L41" s="1">
        <f t="shared" si="2"/>
        <v>0</v>
      </c>
      <c r="M41" s="1">
        <f t="shared" si="2"/>
        <v>0.37155333390804135</v>
      </c>
      <c r="N41" s="1">
        <f t="shared" si="2"/>
        <v>0</v>
      </c>
      <c r="O41" s="1">
        <f t="shared" si="2"/>
        <v>0</v>
      </c>
      <c r="P41" s="1">
        <f t="shared" si="2"/>
        <v>0.45757058606196299</v>
      </c>
      <c r="Q41" s="1">
        <f t="shared" si="2"/>
        <v>0</v>
      </c>
      <c r="R41" s="1">
        <f t="shared" si="2"/>
        <v>0</v>
      </c>
      <c r="S41" s="1">
        <f t="shared" si="2"/>
        <v>0</v>
      </c>
      <c r="T41" s="1">
        <f t="shared" si="2"/>
        <v>0.4427448878615744</v>
      </c>
      <c r="U41" s="1">
        <f t="shared" si="2"/>
        <v>2.2037157368483872E-3</v>
      </c>
      <c r="V41" s="1">
        <f t="shared" si="2"/>
        <v>0</v>
      </c>
      <c r="W41" s="1">
        <f t="shared" si="2"/>
        <v>0</v>
      </c>
      <c r="X41" s="1">
        <f t="shared" si="2"/>
        <v>1.7708063721874043</v>
      </c>
      <c r="Y41" s="1">
        <f t="shared" si="2"/>
        <v>0</v>
      </c>
      <c r="Z41" s="1">
        <f t="shared" si="2"/>
        <v>0</v>
      </c>
      <c r="AA41" s="1">
        <f t="shared" si="2"/>
        <v>0</v>
      </c>
      <c r="AB41" s="1">
        <f>AB39*AB40</f>
        <v>47.585682423790196</v>
      </c>
      <c r="AC41" s="1">
        <f>AC39*AC40</f>
        <v>0.15373698674784678</v>
      </c>
      <c r="AD41" s="1">
        <f t="shared" si="2"/>
        <v>0</v>
      </c>
      <c r="AE41" s="1">
        <f t="shared" si="2"/>
        <v>0</v>
      </c>
      <c r="AF41" s="1">
        <f t="shared" si="2"/>
        <v>0</v>
      </c>
      <c r="AG41" s="1">
        <f t="shared" si="2"/>
        <v>161.25115699804385</v>
      </c>
      <c r="AH41" s="1">
        <f t="shared" si="2"/>
        <v>20.911062685354459</v>
      </c>
      <c r="AI41" s="1">
        <f t="shared" si="2"/>
        <v>0</v>
      </c>
      <c r="AJ41" s="1">
        <f t="shared" si="2"/>
        <v>0</v>
      </c>
      <c r="AK41" s="1">
        <f t="shared" si="2"/>
        <v>0</v>
      </c>
      <c r="AL41" s="1">
        <f t="shared" si="2"/>
        <v>0</v>
      </c>
      <c r="AM41" s="1">
        <f t="shared" si="2"/>
        <v>0</v>
      </c>
      <c r="AN41" s="1">
        <f t="shared" si="2"/>
        <v>8.1296785617668021</v>
      </c>
      <c r="AO41" s="1">
        <f t="shared" si="2"/>
        <v>0</v>
      </c>
      <c r="AP41" s="1">
        <f t="shared" si="2"/>
        <v>0</v>
      </c>
      <c r="AQ41" s="1">
        <f t="shared" si="2"/>
        <v>0.28767123287671231</v>
      </c>
      <c r="AR41" s="1">
        <f t="shared" si="2"/>
        <v>0</v>
      </c>
      <c r="AS41" s="1">
        <f t="shared" si="2"/>
        <v>0</v>
      </c>
      <c r="AT41" s="1">
        <f t="shared" si="2"/>
        <v>0</v>
      </c>
      <c r="AU41" s="1">
        <f t="shared" si="2"/>
        <v>0</v>
      </c>
    </row>
    <row r="42" spans="1:49" x14ac:dyDescent="0.25">
      <c r="D42" s="1" t="s">
        <v>87</v>
      </c>
      <c r="E42" t="s">
        <v>76</v>
      </c>
      <c r="F42" t="s">
        <v>76</v>
      </c>
      <c r="G42" t="s">
        <v>76</v>
      </c>
      <c r="H42" t="s">
        <v>76</v>
      </c>
      <c r="I42" t="s">
        <v>76</v>
      </c>
      <c r="J42" t="s">
        <v>76</v>
      </c>
      <c r="K42" t="s">
        <v>72</v>
      </c>
      <c r="M42" t="s">
        <v>7</v>
      </c>
      <c r="N42" t="s">
        <v>7</v>
      </c>
      <c r="O42" t="s">
        <v>7</v>
      </c>
      <c r="P42" t="s">
        <v>7</v>
      </c>
      <c r="Q42" t="s">
        <v>7</v>
      </c>
      <c r="T42" t="s">
        <v>154</v>
      </c>
      <c r="U42" t="s">
        <v>154</v>
      </c>
      <c r="V42" t="s">
        <v>154</v>
      </c>
      <c r="W42" t="s">
        <v>154</v>
      </c>
      <c r="X42" t="s">
        <v>155</v>
      </c>
      <c r="Y42" t="s">
        <v>155</v>
      </c>
      <c r="Z42" t="s">
        <v>155</v>
      </c>
      <c r="AA42" t="s">
        <v>155</v>
      </c>
      <c r="AB42" t="s">
        <v>10</v>
      </c>
      <c r="AC42" t="s">
        <v>10</v>
      </c>
      <c r="AD42" t="s">
        <v>10</v>
      </c>
      <c r="AE42" t="s">
        <v>10</v>
      </c>
      <c r="AF42" t="s">
        <v>10</v>
      </c>
      <c r="AG42" t="s">
        <v>10</v>
      </c>
      <c r="AH42" t="s">
        <v>10</v>
      </c>
      <c r="AI42" t="s">
        <v>10</v>
      </c>
      <c r="AJ42" t="s">
        <v>10</v>
      </c>
      <c r="AK42" t="s">
        <v>10</v>
      </c>
      <c r="AM42" t="s">
        <v>155</v>
      </c>
      <c r="AN42" t="s">
        <v>155</v>
      </c>
      <c r="AO42" t="s">
        <v>155</v>
      </c>
      <c r="AP42" t="s">
        <v>155</v>
      </c>
      <c r="AQ42" t="s">
        <v>155</v>
      </c>
      <c r="AR42" t="s">
        <v>155</v>
      </c>
      <c r="AS42" t="s">
        <v>155</v>
      </c>
      <c r="AT42" t="s">
        <v>155</v>
      </c>
      <c r="AU42" t="s">
        <v>155</v>
      </c>
    </row>
    <row r="44" spans="1:49" x14ac:dyDescent="0.25">
      <c r="AC44" t="s">
        <v>156</v>
      </c>
    </row>
    <row r="45" spans="1:49" x14ac:dyDescent="0.25">
      <c r="AC45" t="s">
        <v>157</v>
      </c>
      <c r="AD45">
        <f>AB41+AD41</f>
        <v>47.585682423790196</v>
      </c>
    </row>
    <row r="46" spans="1:49" x14ac:dyDescent="0.25">
      <c r="AC46" t="s">
        <v>11</v>
      </c>
      <c r="AD46">
        <f>SUM(AF41:AK41)</f>
        <v>182.16221968339832</v>
      </c>
    </row>
    <row r="47" spans="1:49" x14ac:dyDescent="0.25">
      <c r="AC47" t="s">
        <v>158</v>
      </c>
      <c r="AD47">
        <f>SUM(AC41,AE41)*AD46</f>
        <v>28.00507075342496</v>
      </c>
    </row>
    <row r="48" spans="1:49" x14ac:dyDescent="0.25">
      <c r="AC48" t="s">
        <v>146</v>
      </c>
      <c r="AD48">
        <f>AD45+AD47</f>
        <v>75.590753177215163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FCE9A-8C04-41B8-A8B3-B58B5214A8F6}">
  <dimension ref="A1:AU48"/>
  <sheetViews>
    <sheetView zoomScaleNormal="100" workbookViewId="0">
      <pane xSplit="1" topLeftCell="B1" activePane="topRight" state="frozen"/>
      <selection activeCell="B2" sqref="B2:L24"/>
      <selection pane="topRight" activeCell="B2" sqref="B2:L24"/>
    </sheetView>
  </sheetViews>
  <sheetFormatPr defaultColWidth="8.85546875" defaultRowHeight="15" x14ac:dyDescent="0.25"/>
  <cols>
    <col min="1" max="1" width="15.42578125" customWidth="1"/>
    <col min="2" max="2" width="14" customWidth="1"/>
    <col min="4" max="4" width="11.85546875" customWidth="1"/>
    <col min="5" max="5" width="11" customWidth="1"/>
    <col min="35" max="35" width="11" customWidth="1"/>
    <col min="36" max="36" width="11.42578125" customWidth="1"/>
    <col min="37" max="37" width="14.140625" customWidth="1"/>
  </cols>
  <sheetData>
    <row r="1" spans="1:12" x14ac:dyDescent="0.25">
      <c r="A1" s="1" t="s">
        <v>141</v>
      </c>
    </row>
    <row r="2" spans="1:12" x14ac:dyDescent="0.25">
      <c r="A2" t="s">
        <v>88</v>
      </c>
      <c r="B2">
        <v>2</v>
      </c>
    </row>
    <row r="3" spans="1:12" x14ac:dyDescent="0.25">
      <c r="A3" t="s">
        <v>89</v>
      </c>
      <c r="B3">
        <v>0</v>
      </c>
    </row>
    <row r="5" spans="1:12" x14ac:dyDescent="0.25">
      <c r="A5" t="s">
        <v>55</v>
      </c>
      <c r="B5" t="s">
        <v>56</v>
      </c>
      <c r="C5" t="s">
        <v>57</v>
      </c>
      <c r="D5" t="s">
        <v>58</v>
      </c>
      <c r="E5" t="s">
        <v>90</v>
      </c>
    </row>
    <row r="6" spans="1:12" x14ac:dyDescent="0.25">
      <c r="A6">
        <v>0</v>
      </c>
      <c r="B6">
        <v>1</v>
      </c>
      <c r="C6">
        <v>1</v>
      </c>
      <c r="D6">
        <v>0</v>
      </c>
      <c r="E6">
        <f>SUM(A6:D6)</f>
        <v>2</v>
      </c>
    </row>
    <row r="8" spans="1:12" x14ac:dyDescent="0.25">
      <c r="A8" s="1" t="s">
        <v>87</v>
      </c>
      <c r="B8" t="s">
        <v>0</v>
      </c>
      <c r="C8" t="s">
        <v>1</v>
      </c>
      <c r="D8" t="s">
        <v>2</v>
      </c>
      <c r="E8" t="s">
        <v>3</v>
      </c>
      <c r="F8" t="s">
        <v>91</v>
      </c>
      <c r="G8" t="s">
        <v>92</v>
      </c>
      <c r="H8" t="s">
        <v>93</v>
      </c>
      <c r="I8" t="s">
        <v>94</v>
      </c>
      <c r="J8" t="s">
        <v>95</v>
      </c>
      <c r="K8" t="s">
        <v>96</v>
      </c>
      <c r="L8" t="s">
        <v>97</v>
      </c>
    </row>
    <row r="9" spans="1:12" x14ac:dyDescent="0.25">
      <c r="B9">
        <f>IF(AND(B2=1,E6=0),1,0)</f>
        <v>0</v>
      </c>
      <c r="C9">
        <f>IF(AND(B2=2,E6=0),1,0)</f>
        <v>0</v>
      </c>
      <c r="D9">
        <f>IF(AND(B3=1,E6=0),1,0)</f>
        <v>0</v>
      </c>
      <c r="E9">
        <f>IF(AND(B3=2,E6=0),1,0)</f>
        <v>0</v>
      </c>
      <c r="F9">
        <f>IF(AND(B2=1,E6=1),1,0)</f>
        <v>0</v>
      </c>
      <c r="G9">
        <f>IF(AND(B2=1,E6=2),1,0)</f>
        <v>0</v>
      </c>
      <c r="H9">
        <f>IF(AND(B2=1,E6=3),1,0)</f>
        <v>0</v>
      </c>
      <c r="I9">
        <f>IF(AND(B2=2,E6=1),1,0)</f>
        <v>0</v>
      </c>
      <c r="J9">
        <f>IF(AND(B2=2,E6=2),1,0)</f>
        <v>1</v>
      </c>
      <c r="K9">
        <f>IF(AND(B2=2,E6=3),1,0)</f>
        <v>0</v>
      </c>
      <c r="L9">
        <f>IF(AND(B2=2,E6=4),1,0)</f>
        <v>0</v>
      </c>
    </row>
    <row r="11" spans="1:12" x14ac:dyDescent="0.25">
      <c r="A11" s="1"/>
      <c r="B11" s="1" t="s">
        <v>146</v>
      </c>
      <c r="C11" s="10" t="s">
        <v>147</v>
      </c>
      <c r="D11" s="10" t="s">
        <v>148</v>
      </c>
      <c r="E11" s="10" t="s">
        <v>98</v>
      </c>
    </row>
    <row r="12" spans="1:12" x14ac:dyDescent="0.25">
      <c r="A12" s="9" t="s">
        <v>64</v>
      </c>
      <c r="C12" s="10"/>
      <c r="D12" s="10"/>
      <c r="E12" s="10"/>
    </row>
    <row r="13" spans="1:12" x14ac:dyDescent="0.25">
      <c r="A13" s="8" t="s">
        <v>65</v>
      </c>
      <c r="B13">
        <f>C13+D13+E13</f>
        <v>144.86187751257057</v>
      </c>
      <c r="C13" s="10">
        <f>SUM(B$9*'2023 components'!C5,C$9*'2023 components'!D5,D$9*'2023 components'!E5,E$9*'2023 components'!F5,F$9*'2023 components'!G5,G$9*'2023 components'!H5,H$9*'2023 components'!I5,I$9*'2023 components'!J5,J$9*'2023 components'!K5,K$9*'2023 components'!L5,L$9*'2023 components'!M5)</f>
        <v>90.318407189717178</v>
      </c>
      <c r="D13" s="10">
        <f>SUM(A$6*'2023 components'!N5,B$6*'2023 components'!O5,C$6*'2023 components'!P5,D$6*'2023 components'!Q5)</f>
        <v>54.543470322853381</v>
      </c>
      <c r="E13" s="10"/>
    </row>
    <row r="14" spans="1:12" x14ac:dyDescent="0.25">
      <c r="A14" s="8" t="s">
        <v>66</v>
      </c>
      <c r="B14">
        <f t="shared" ref="B14:B29" si="0">C14+D14+E14</f>
        <v>11.411996649459066</v>
      </c>
      <c r="C14" s="10">
        <f>SUM(B$9*'2023 components'!C6,C$9*'2023 components'!D6,D$9*'2023 components'!E6,E$9*'2023 components'!F6,F$9*'2023 components'!G6,G$9*'2023 components'!H6,H$9*'2023 components'!I6,I$9*'2023 components'!J6,J$9*'2023 components'!K6,K$9*'2023 components'!L6,L$9*'2023 components'!M6)</f>
        <v>11.411996649459066</v>
      </c>
      <c r="D14" s="10">
        <f>SUM(A$6*'2023 components'!N6,B$6*'2023 components'!O6,C$6*'2023 components'!P6,D$6*'2023 components'!Q6)</f>
        <v>0</v>
      </c>
      <c r="E14" s="10"/>
    </row>
    <row r="15" spans="1:12" x14ac:dyDescent="0.25">
      <c r="A15" s="8" t="s">
        <v>67</v>
      </c>
      <c r="B15">
        <f t="shared" si="0"/>
        <v>0</v>
      </c>
      <c r="C15" s="10">
        <f>SUM(B$9*'2023 components'!C7,C$9*'2023 components'!D7,D$9*'2023 components'!E7,E$9*'2023 components'!F7,F$9*'2023 components'!G7,G$9*'2023 components'!H7,H$9*'2023 components'!I7,I$9*'2023 components'!J7,J$9*'2023 components'!K7,K$9*'2023 components'!L7,L$9*'2023 components'!M7)</f>
        <v>0</v>
      </c>
      <c r="D15" s="10">
        <f>SUM(A$6*'2023 components'!N7,B$6*'2023 components'!O7,C$6*'2023 components'!P7,D$6*'2023 components'!Q7)</f>
        <v>0</v>
      </c>
      <c r="E15" s="10"/>
    </row>
    <row r="16" spans="1:12" x14ac:dyDescent="0.25">
      <c r="A16" s="8" t="s">
        <v>68</v>
      </c>
      <c r="B16">
        <f t="shared" si="0"/>
        <v>53.162196797708333</v>
      </c>
      <c r="C16" s="10">
        <f>SUM(B$9*'2023 components'!C8,C$9*'2023 components'!D8,D$9*'2023 components'!E8,E$9*'2023 components'!F8,F$9*'2023 components'!G8,G$9*'2023 components'!H8,H$9*'2023 components'!I8,I$9*'2023 components'!J8,J$9*'2023 components'!K8,K$9*'2023 components'!L8,L$9*'2023 components'!M8)</f>
        <v>27.363729007119129</v>
      </c>
      <c r="D16" s="10">
        <f>SUM(A$6*'2023 components'!N8,B$6*'2023 components'!O8,C$6*'2023 components'!P8,D$6*'2023 components'!Q8)</f>
        <v>25.798467790589203</v>
      </c>
      <c r="E16" s="10"/>
    </row>
    <row r="17" spans="1:11" x14ac:dyDescent="0.25">
      <c r="A17" s="8" t="s">
        <v>69</v>
      </c>
      <c r="B17">
        <f t="shared" si="0"/>
        <v>12.54056925996205</v>
      </c>
      <c r="C17" s="10">
        <f>SUM(B$9*'2023 components'!C9,C$9*'2023 components'!D9,D$9*'2023 components'!E9,E$9*'2023 components'!F9,F$9*'2023 components'!G9,G$9*'2023 components'!H9,H$9*'2023 components'!I9,I$9*'2023 components'!J9,J$9*'2023 components'!K9,K$9*'2023 components'!L9,L$9*'2023 components'!M9)</f>
        <v>12.54056925996205</v>
      </c>
      <c r="D17" s="10">
        <f>SUM(A$6*'2023 components'!N9,B$6*'2023 components'!O9,C$6*'2023 components'!P9,D$6*'2023 components'!Q9)</f>
        <v>0</v>
      </c>
      <c r="E17" s="10"/>
    </row>
    <row r="18" spans="1:11" x14ac:dyDescent="0.25">
      <c r="A18" s="8" t="s">
        <v>70</v>
      </c>
      <c r="B18">
        <f t="shared" si="0"/>
        <v>32.174177777777778</v>
      </c>
      <c r="C18" s="10">
        <f>SUM(B$9*'2023 components'!C10,C$9*'2023 components'!D10,D$9*'2023 components'!E10,E$9*'2023 components'!F10,F$9*'2023 components'!G10,G$9*'2023 components'!H10,H$9*'2023 components'!I10,I$9*'2023 components'!J10,J$9*'2023 components'!K10,K$9*'2023 components'!L10,L$9*'2023 components'!M10)</f>
        <v>32.174177777777778</v>
      </c>
      <c r="D18" s="10">
        <f>SUM(A$6*'2023 components'!N10,B$6*'2023 components'!O10,C$6*'2023 components'!P10,D$6*'2023 components'!Q10)</f>
        <v>0</v>
      </c>
      <c r="E18" s="10"/>
    </row>
    <row r="19" spans="1:11" x14ac:dyDescent="0.25">
      <c r="A19" s="8" t="s">
        <v>71</v>
      </c>
      <c r="B19">
        <f t="shared" si="0"/>
        <v>1.9295773058608476</v>
      </c>
      <c r="C19" s="10">
        <f>SUM(B$9*'2023 components'!C11,C$9*'2023 components'!D11,D$9*'2023 components'!E11,E$9*'2023 components'!F11,F$9*'2023 components'!G11,G$9*'2023 components'!H11,H$9*'2023 components'!I11,I$9*'2023 components'!J11,J$9*'2023 components'!K11,K$9*'2023 components'!L11,L$9*'2023 components'!M11)</f>
        <v>1.9295773058608476</v>
      </c>
      <c r="D19" s="10">
        <f>SUM(A$6*'2023 components'!N11,B$6*'2023 components'!O11,C$6*'2023 components'!P11,D$6*'2023 components'!Q11)</f>
        <v>0</v>
      </c>
      <c r="E19" s="10"/>
    </row>
    <row r="20" spans="1:11" x14ac:dyDescent="0.25">
      <c r="A20" s="8" t="s">
        <v>72</v>
      </c>
      <c r="B20">
        <f t="shared" si="0"/>
        <v>61.946403210136992</v>
      </c>
      <c r="C20" s="10">
        <f>SUM(B$9*'2023 components'!C12,C$9*'2023 components'!D12,D$9*'2023 components'!E12,E$9*'2023 components'!F12,F$9*'2023 components'!G12,G$9*'2023 components'!H12,H$9*'2023 components'!I12,I$9*'2023 components'!J12,J$9*'2023 components'!K12,K$9*'2023 components'!L12,L$9*'2023 components'!M12)</f>
        <v>61.946403210136992</v>
      </c>
      <c r="D20" s="10">
        <f>SUM(A$6*'2023 components'!N12,B$6*'2023 components'!O12,C$6*'2023 components'!P12,D$6*'2023 components'!Q12)</f>
        <v>0</v>
      </c>
      <c r="E20" s="10">
        <f>K41</f>
        <v>0</v>
      </c>
    </row>
    <row r="21" spans="1:11" x14ac:dyDescent="0.25">
      <c r="A21" s="8" t="s">
        <v>73</v>
      </c>
      <c r="B21">
        <f t="shared" si="0"/>
        <v>2.1941982272361193</v>
      </c>
      <c r="C21" s="10">
        <f>SUM(B$9*'2023 components'!C13,C$9*'2023 components'!D13,D$9*'2023 components'!E13,E$9*'2023 components'!F13,F$9*'2023 components'!G13,G$9*'2023 components'!H13,H$9*'2023 components'!I13,I$9*'2023 components'!J13,J$9*'2023 components'!K13,K$9*'2023 components'!L13,L$9*'2023 components'!M13)</f>
        <v>2.1941982272361193</v>
      </c>
      <c r="D21" s="10">
        <f>SUM(A$6*'2023 components'!N13,B$6*'2023 components'!O13,C$6*'2023 components'!P13,D$6*'2023 components'!Q13)</f>
        <v>0</v>
      </c>
      <c r="E21" s="10"/>
    </row>
    <row r="22" spans="1:11" x14ac:dyDescent="0.25">
      <c r="A22" s="8" t="s">
        <v>74</v>
      </c>
      <c r="B22">
        <f t="shared" si="0"/>
        <v>34.084064069079616</v>
      </c>
      <c r="C22" s="10">
        <f>SUM(B$9*'2023 components'!C14,C$9*'2023 components'!D14,D$9*'2023 components'!E14,E$9*'2023 components'!F14,F$9*'2023 components'!G14,G$9*'2023 components'!H14,H$9*'2023 components'!I14,I$9*'2023 components'!J14,J$9*'2023 components'!K14,K$9*'2023 components'!L14,L$9*'2023 components'!M14)</f>
        <v>28.126589233880217</v>
      </c>
      <c r="D22" s="10">
        <f>SUM(A$6*'2023 components'!N14,B$6*'2023 components'!O14,C$6*'2023 components'!P14,D$6*'2023 components'!Q14)</f>
        <v>5.2624386378160883</v>
      </c>
      <c r="E22" s="10">
        <f>SUM(M41:Q41)</f>
        <v>0.69503619738331257</v>
      </c>
    </row>
    <row r="23" spans="1:11" x14ac:dyDescent="0.25">
      <c r="A23" s="8" t="s">
        <v>75</v>
      </c>
      <c r="B23">
        <f t="shared" si="0"/>
        <v>11.965218785372629</v>
      </c>
      <c r="C23" s="10">
        <f>SUM(B$9*'2023 components'!C15,C$9*'2023 components'!D15,D$9*'2023 components'!E15,E$9*'2023 components'!F15,F$9*'2023 components'!G15,G$9*'2023 components'!H15,H$9*'2023 components'!I15,I$9*'2023 components'!J15,J$9*'2023 components'!K15,K$9*'2023 components'!L15,L$9*'2023 components'!M15)</f>
        <v>11.965218785372629</v>
      </c>
      <c r="D23" s="10">
        <f>SUM(A$6*'2023 components'!N15,B$6*'2023 components'!O15,C$6*'2023 components'!P15,D$6*'2023 components'!Q15)</f>
        <v>0</v>
      </c>
      <c r="E23" s="10"/>
    </row>
    <row r="24" spans="1:11" x14ac:dyDescent="0.25">
      <c r="A24" s="8" t="s">
        <v>76</v>
      </c>
      <c r="B24">
        <f t="shared" si="0"/>
        <v>247.33519128620441</v>
      </c>
      <c r="C24" s="10">
        <f>SUM(B$9*'2023 components'!C16,C$9*'2023 components'!D16,D$9*'2023 components'!E16,E$9*'2023 components'!F16,F$9*'2023 components'!G16,G$9*'2023 components'!H16,H$9*'2023 components'!I16,I$9*'2023 components'!J16,J$9*'2023 components'!K16,K$9*'2023 components'!L16,L$9*'2023 components'!M16)</f>
        <v>0</v>
      </c>
      <c r="D24" s="10">
        <f>SUM(A$6*'2023 components'!N16,B$6*'2023 components'!O16,C$6*'2023 components'!P16,D$6*'2023 components'!Q16)</f>
        <v>0</v>
      </c>
      <c r="E24" s="10">
        <f>SUM(E41:J41)</f>
        <v>247.33519128620441</v>
      </c>
    </row>
    <row r="25" spans="1:11" x14ac:dyDescent="0.25">
      <c r="A25" s="8" t="s">
        <v>77</v>
      </c>
      <c r="B25">
        <f t="shared" si="0"/>
        <v>54.205055957001854</v>
      </c>
      <c r="C25" s="10">
        <f>SUM(B$9*'2023 components'!C17,C$9*'2023 components'!D17,D$9*'2023 components'!E17,E$9*'2023 components'!F17,F$9*'2023 components'!G17,G$9*'2023 components'!H17,H$9*'2023 components'!I17,I$9*'2023 components'!J17,J$9*'2023 components'!K17,K$9*'2023 components'!L17,L$9*'2023 components'!M17)</f>
        <v>37.76603522972227</v>
      </c>
      <c r="D25" s="10">
        <f>SUM(A$6*'2023 components'!N17,B$6*'2023 components'!O17,C$6*'2023 components'!P17,D$6*'2023 components'!Q17)</f>
        <v>15.952315966886868</v>
      </c>
      <c r="E25" s="10">
        <f>SUM(T41:W41)</f>
        <v>0.48670476039271565</v>
      </c>
    </row>
    <row r="26" spans="1:11" x14ac:dyDescent="0.25">
      <c r="A26" s="8" t="s">
        <v>10</v>
      </c>
      <c r="B26">
        <f t="shared" si="0"/>
        <v>81.157852383382533</v>
      </c>
      <c r="C26" s="10">
        <f>SUM(B$9*'2023 components'!C18,C$9*'2023 components'!D18,D$9*'2023 components'!E18,E$9*'2023 components'!F18,F$9*'2023 components'!G18,G$9*'2023 components'!H18,H$9*'2023 components'!I18,I$9*'2023 components'!J18,J$9*'2023 components'!K18,K$9*'2023 components'!L18,L$9*'2023 components'!M18)</f>
        <v>0</v>
      </c>
      <c r="D26" s="10">
        <f>SUM(A$6*'2023 components'!N18,B$6*'2023 components'!O18,C$6*'2023 components'!P18,D$6*'2023 components'!Q18)</f>
        <v>0</v>
      </c>
      <c r="E26" s="10">
        <f>AD48</f>
        <v>81.157852383382533</v>
      </c>
    </row>
    <row r="27" spans="1:11" x14ac:dyDescent="0.25">
      <c r="A27" s="8" t="s">
        <v>78</v>
      </c>
      <c r="B27">
        <f t="shared" si="0"/>
        <v>44.967657014993087</v>
      </c>
      <c r="C27">
        <f>I27+I28</f>
        <v>44.967657014993087</v>
      </c>
      <c r="D27">
        <f t="shared" ref="D27:E27" si="1">J27+J28</f>
        <v>0</v>
      </c>
      <c r="E27">
        <f t="shared" si="1"/>
        <v>0</v>
      </c>
      <c r="G27" t="s">
        <v>169</v>
      </c>
      <c r="H27">
        <f>I27+J27+K27</f>
        <v>28.501833740831302</v>
      </c>
      <c r="I27" s="10">
        <f>SUM(B$9*'2023 components'!C19,C$9*'2023 components'!D19,D$9*'2023 components'!E19,E$9*'2023 components'!F19,F$9*'2023 components'!G19,G$9*'2023 components'!H19,H$9*'2023 components'!I19,I$9*'2023 components'!J19,J$9*'2023 components'!K19,K$9*'2023 components'!L19,L$9*'2023 components'!M19)</f>
        <v>28.501833740831302</v>
      </c>
      <c r="J27" s="10">
        <f>SUM(A$6*'2023 components'!N19,B$6*'2023 components'!O19,C$6*'2023 components'!P19,D$6*'2023 components'!Q19)</f>
        <v>0</v>
      </c>
      <c r="K27" s="10"/>
    </row>
    <row r="28" spans="1:11" x14ac:dyDescent="0.25">
      <c r="A28" s="8" t="s">
        <v>79</v>
      </c>
      <c r="B28">
        <f t="shared" si="0"/>
        <v>118.88210844574076</v>
      </c>
      <c r="C28" s="10">
        <f>SUM(B$9*'2023 components'!C21,C$9*'2023 components'!D21,D$9*'2023 components'!E21,E$9*'2023 components'!F21,F$9*'2023 components'!G21,G$9*'2023 components'!H21,H$9*'2023 components'!I21,I$9*'2023 components'!J21,J$9*'2023 components'!K21,K$9*'2023 components'!L21,L$9*'2023 components'!M21)</f>
        <v>49.992519752838454</v>
      </c>
      <c r="D28" s="10">
        <f>SUM(A$6*'2023 components'!N21,B$6*'2023 components'!O21,C$6*'2023 components'!P21,D$6*'2023 components'!Q21)</f>
        <v>46.873639554919677</v>
      </c>
      <c r="E28" s="10">
        <f>SUM(X41:AA41)+SUM(AM41:AP41)</f>
        <v>22.015949137982638</v>
      </c>
      <c r="G28" t="s">
        <v>170</v>
      </c>
      <c r="H28">
        <f>I28+J28+K28</f>
        <v>16.465823274161785</v>
      </c>
      <c r="I28" s="10">
        <f>SUM(B$9*'2023 components'!C20,C$9*'2023 components'!D20,D$9*'2023 components'!E20,E$9*'2023 components'!F20,F$9*'2023 components'!G20,G$9*'2023 components'!H20,H$9*'2023 components'!I20,I$9*'2023 components'!J20,J$9*'2023 components'!K20,K$9*'2023 components'!L20,L$9*'2023 components'!M20)</f>
        <v>16.465823274161785</v>
      </c>
      <c r="J28" s="10">
        <f>SUM(A$6*'2023 components'!N20,B$6*'2023 components'!O20,C$6*'2023 components'!P20,D$6*'2023 components'!Q20)</f>
        <v>0</v>
      </c>
      <c r="K28" s="10"/>
    </row>
    <row r="29" spans="1:11" x14ac:dyDescent="0.25">
      <c r="A29" s="8" t="s">
        <v>80</v>
      </c>
      <c r="B29">
        <f t="shared" si="0"/>
        <v>107.58054704143699</v>
      </c>
      <c r="C29" s="10">
        <f>SUM(B$9*'2023 components'!C22,C$9*'2023 components'!D22,D$9*'2023 components'!E22,E$9*'2023 components'!F22,F$9*'2023 components'!G22,G$9*'2023 components'!H22,H$9*'2023 components'!I22,I$9*'2023 components'!J22,J$9*'2023 components'!K22,K$9*'2023 components'!L22,L$9*'2023 components'!M22)</f>
        <v>107.58054704143699</v>
      </c>
      <c r="D29" s="10">
        <f>SUM(A$6*'2023 components'!N22,B$6*'2023 components'!O22,C$6*'2023 components'!P22,D$6*'2023 components'!Q22)</f>
        <v>0</v>
      </c>
      <c r="E29" s="10"/>
    </row>
    <row r="30" spans="1:11" x14ac:dyDescent="0.25">
      <c r="E30" s="10"/>
    </row>
    <row r="33" spans="1:47" x14ac:dyDescent="0.25">
      <c r="A33" s="11" t="s">
        <v>78</v>
      </c>
      <c r="B33" s="11" t="s">
        <v>149</v>
      </c>
      <c r="C33" s="11">
        <f>SUM(B$9*'2023 components'!C17,C$9*'2023 components'!D17,D$9*'2023 components'!E17,E$9*'2023 components'!F17,F$9*'2023 components'!G17,G$9*'2023 components'!H17,H$9*'2023 components'!I17,I$9*'2023 components'!J17,J$9*'2023 components'!K17,K$9*'2023 components'!L17,L$9*'2023 components'!M17)</f>
        <v>37.76603522972227</v>
      </c>
      <c r="D33" s="10">
        <f>SUM(A$6*'2023 components'!N17,B$6*'2023 components'!O17,C$6*'2023 components'!P17,D$6*'2023 components'!Q17)</f>
        <v>15.952315966886868</v>
      </c>
    </row>
    <row r="34" spans="1:47" x14ac:dyDescent="0.25">
      <c r="A34" s="11"/>
      <c r="B34" s="11" t="s">
        <v>150</v>
      </c>
      <c r="C34" s="11">
        <f>SUM(B$9*'2023 components'!C18,C$9*'2023 components'!D18,D$9*'2023 components'!E18,E$9*'2023 components'!F18,F$9*'2023 components'!G18,G$9*'2023 components'!H18,H$9*'2023 components'!I18,I$9*'2023 components'!J18,J$9*'2023 components'!K18,K$9*'2023 components'!L18,L$9*'2023 components'!M18)</f>
        <v>0</v>
      </c>
      <c r="D34" s="10">
        <f>SUM(A$6*'2023 components'!N18,B$6*'2023 components'!O18,C$6*'2023 components'!P18,D$6*'2023 components'!Q18)</f>
        <v>0</v>
      </c>
    </row>
    <row r="35" spans="1:47" x14ac:dyDescent="0.25">
      <c r="A35" s="11"/>
      <c r="B35" s="11" t="s">
        <v>151</v>
      </c>
      <c r="C35" s="11">
        <f>C33+C34</f>
        <v>37.76603522972227</v>
      </c>
      <c r="D35" s="11">
        <f>D33+D34</f>
        <v>15.952315966886868</v>
      </c>
    </row>
    <row r="37" spans="1:47" ht="45" x14ac:dyDescent="0.25">
      <c r="E37" t="s">
        <v>28</v>
      </c>
      <c r="F37" t="s">
        <v>29</v>
      </c>
      <c r="G37" t="s">
        <v>30</v>
      </c>
      <c r="H37" t="s">
        <v>31</v>
      </c>
      <c r="I37" t="s">
        <v>32</v>
      </c>
      <c r="J37" t="s">
        <v>33</v>
      </c>
      <c r="K37" t="s">
        <v>34</v>
      </c>
      <c r="L37" t="s">
        <v>35</v>
      </c>
      <c r="M37" t="s">
        <v>36</v>
      </c>
      <c r="N37" t="s">
        <v>37</v>
      </c>
      <c r="O37" t="s">
        <v>38</v>
      </c>
      <c r="P37" t="s">
        <v>39</v>
      </c>
      <c r="Q37" t="s">
        <v>40</v>
      </c>
      <c r="R37" t="s">
        <v>41</v>
      </c>
      <c r="S37" t="s">
        <v>42</v>
      </c>
      <c r="T37" t="s">
        <v>39</v>
      </c>
      <c r="U37" t="s">
        <v>40</v>
      </c>
      <c r="V37" t="s">
        <v>99</v>
      </c>
      <c r="W37" s="3" t="s">
        <v>44</v>
      </c>
      <c r="X37" t="s">
        <v>100</v>
      </c>
      <c r="Y37" t="s">
        <v>101</v>
      </c>
      <c r="Z37" t="s">
        <v>102</v>
      </c>
      <c r="AA37" t="s">
        <v>48</v>
      </c>
      <c r="AB37" t="s">
        <v>49</v>
      </c>
      <c r="AC37" t="s">
        <v>50</v>
      </c>
      <c r="AD37" t="s">
        <v>51</v>
      </c>
      <c r="AE37" t="s">
        <v>52</v>
      </c>
      <c r="AF37" t="s">
        <v>53</v>
      </c>
      <c r="AG37" t="s">
        <v>54</v>
      </c>
      <c r="AH37" t="s">
        <v>55</v>
      </c>
      <c r="AI37" t="s">
        <v>56</v>
      </c>
      <c r="AJ37" t="s">
        <v>57</v>
      </c>
      <c r="AK37" t="s">
        <v>58</v>
      </c>
      <c r="AL37" t="s">
        <v>145</v>
      </c>
      <c r="AM37" t="s">
        <v>60</v>
      </c>
      <c r="AN37" t="s">
        <v>61</v>
      </c>
      <c r="AO37" t="s">
        <v>62</v>
      </c>
      <c r="AP37" t="s">
        <v>63</v>
      </c>
      <c r="AT37" t="s">
        <v>144</v>
      </c>
    </row>
    <row r="38" spans="1:47" ht="45" x14ac:dyDescent="0.25">
      <c r="D38" s="12" t="s">
        <v>152</v>
      </c>
      <c r="E38" t="s">
        <v>103</v>
      </c>
      <c r="F38" t="s">
        <v>104</v>
      </c>
      <c r="G38" t="s">
        <v>105</v>
      </c>
      <c r="H38" t="s">
        <v>106</v>
      </c>
      <c r="I38" t="s">
        <v>107</v>
      </c>
      <c r="J38" t="s">
        <v>108</v>
      </c>
      <c r="K38" t="s">
        <v>109</v>
      </c>
      <c r="L38" t="s">
        <v>110</v>
      </c>
      <c r="M38" t="s">
        <v>111</v>
      </c>
      <c r="N38" t="s">
        <v>112</v>
      </c>
      <c r="O38" t="s">
        <v>113</v>
      </c>
      <c r="P38" t="s">
        <v>114</v>
      </c>
      <c r="Q38" t="s">
        <v>115</v>
      </c>
      <c r="R38" t="s">
        <v>116</v>
      </c>
      <c r="S38" t="s">
        <v>117</v>
      </c>
      <c r="T38" t="s">
        <v>118</v>
      </c>
      <c r="U38" t="s">
        <v>119</v>
      </c>
      <c r="V38" t="s">
        <v>120</v>
      </c>
      <c r="W38" t="s">
        <v>121</v>
      </c>
      <c r="X38" t="s">
        <v>122</v>
      </c>
      <c r="Y38" t="s">
        <v>123</v>
      </c>
      <c r="Z38" t="s">
        <v>124</v>
      </c>
      <c r="AA38" t="s">
        <v>125</v>
      </c>
      <c r="AB38" t="s">
        <v>126</v>
      </c>
      <c r="AC38" t="s">
        <v>127</v>
      </c>
      <c r="AD38" t="s">
        <v>128</v>
      </c>
      <c r="AE38" t="s">
        <v>129</v>
      </c>
      <c r="AF38" t="s">
        <v>130</v>
      </c>
      <c r="AG38" t="s">
        <v>131</v>
      </c>
      <c r="AH38" t="s">
        <v>132</v>
      </c>
      <c r="AI38" t="s">
        <v>133</v>
      </c>
      <c r="AJ38" t="s">
        <v>134</v>
      </c>
      <c r="AK38" t="s">
        <v>135</v>
      </c>
      <c r="AL38" t="s">
        <v>136</v>
      </c>
      <c r="AM38" t="s">
        <v>137</v>
      </c>
      <c r="AN38" t="s">
        <v>138</v>
      </c>
      <c r="AO38" t="s">
        <v>139</v>
      </c>
      <c r="AP38" t="s">
        <v>140</v>
      </c>
      <c r="AT38" t="s">
        <v>142</v>
      </c>
      <c r="AU38">
        <f>IF(AND(E6&gt;0,AU39=0),1,0)</f>
        <v>1</v>
      </c>
    </row>
    <row r="39" spans="1:47" x14ac:dyDescent="0.25">
      <c r="D39" s="1" t="s">
        <v>160</v>
      </c>
      <c r="E39">
        <f>IF(AND(C6&gt;0,(B6+C6=0)),1,0)</f>
        <v>0</v>
      </c>
      <c r="F39">
        <f>C6-E39</f>
        <v>1</v>
      </c>
      <c r="G39">
        <f>IF(A6&gt;0,1,0)</f>
        <v>0</v>
      </c>
      <c r="H39">
        <f>A6-G39</f>
        <v>0</v>
      </c>
      <c r="I39">
        <f>IF(AND(A6=0,B6&gt;0),1,0)</f>
        <v>1</v>
      </c>
      <c r="J39">
        <f>B6-I39</f>
        <v>0</v>
      </c>
      <c r="K39">
        <f>IF(AND(C6+D6&gt;0,A6+B6=0),1,0)</f>
        <v>0</v>
      </c>
      <c r="M39">
        <f>IF(A6&gt;0,1,0)</f>
        <v>0</v>
      </c>
      <c r="N39">
        <f>IF(B6&gt;0,1,0)</f>
        <v>1</v>
      </c>
      <c r="O39">
        <f>IF(C6&gt;0,1,0)</f>
        <v>1</v>
      </c>
      <c r="P39">
        <f>IF(A6+B6&gt;0,1,0)</f>
        <v>1</v>
      </c>
      <c r="Q39">
        <f>IF(A6+B6+C6&gt;0,1,0)</f>
        <v>1</v>
      </c>
      <c r="T39">
        <f>P39</f>
        <v>1</v>
      </c>
      <c r="U39">
        <f>Q39</f>
        <v>1</v>
      </c>
      <c r="V39">
        <f>IF(B6+C6&gt;0,1,0)</f>
        <v>1</v>
      </c>
      <c r="W39">
        <f>IF(A6+B6&gt;1,1,0)</f>
        <v>0</v>
      </c>
      <c r="X39">
        <f>IF(A6+B6+D6&gt;0,1,0)</f>
        <v>1</v>
      </c>
      <c r="Y39">
        <f>O39</f>
        <v>1</v>
      </c>
      <c r="Z39">
        <f>IF(D6&gt;0,1,0)</f>
        <v>0</v>
      </c>
      <c r="AA39">
        <f>IF(D6&gt;1,1,0)</f>
        <v>0</v>
      </c>
      <c r="AB39">
        <f>IF(AU38=1,1,0)</f>
        <v>1</v>
      </c>
      <c r="AC39">
        <f>AB39</f>
        <v>1</v>
      </c>
      <c r="AD39">
        <f>IF(AU39=1,1,0)</f>
        <v>0</v>
      </c>
      <c r="AE39">
        <f>AD39</f>
        <v>0</v>
      </c>
      <c r="AF39">
        <f>IF(SUM('c+2'!F9:H9)=1,1,0)</f>
        <v>0</v>
      </c>
      <c r="AG39">
        <f>IF(AND(E6&gt;0,AF39=0),1,0)</f>
        <v>1</v>
      </c>
      <c r="AH39">
        <f>A6</f>
        <v>0</v>
      </c>
      <c r="AI39">
        <f>B6</f>
        <v>1</v>
      </c>
      <c r="AJ39">
        <f>C6</f>
        <v>1</v>
      </c>
      <c r="AK39">
        <f>D6</f>
        <v>0</v>
      </c>
      <c r="AM39">
        <f>IF(AND(OR(E6=1,E6=2),C6+D6&gt;0),1,0)</f>
        <v>1</v>
      </c>
      <c r="AN39">
        <f>IF(AND(OR(E6=1,E6=2),C6+D6=0),1,0)</f>
        <v>0</v>
      </c>
      <c r="AO39">
        <f>IF(AND(E6&gt;2,C6+D6&gt;0),1,0)</f>
        <v>0</v>
      </c>
      <c r="AP39">
        <f>IF(AND(E6&gt;2,C6+D6=0),1,0)</f>
        <v>0</v>
      </c>
      <c r="AT39" t="s">
        <v>143</v>
      </c>
      <c r="AU39">
        <f>IF(OR(L9=1,AND(K9=1,D6&gt;0)),1,0)</f>
        <v>0</v>
      </c>
    </row>
    <row r="40" spans="1:47" x14ac:dyDescent="0.25">
      <c r="D40" s="1" t="s">
        <v>153</v>
      </c>
      <c r="E40">
        <f>'2023 components'!R16</f>
        <v>97.808191506804391</v>
      </c>
      <c r="F40">
        <f>'2023 components'!S16</f>
        <v>97.808191506804391</v>
      </c>
      <c r="G40">
        <f>'2023 components'!T16</f>
        <v>286.44531759360001</v>
      </c>
      <c r="H40">
        <f>'2023 components'!U16</f>
        <v>286.44531759360001</v>
      </c>
      <c r="I40">
        <f>'2023 components'!V16</f>
        <v>149.5269997794</v>
      </c>
      <c r="J40">
        <f>'2023 components'!W16</f>
        <v>149.5269997794</v>
      </c>
      <c r="K40">
        <f>'2023 components'!X12</f>
        <v>0</v>
      </c>
      <c r="M40">
        <f>'2023 components'!Z14</f>
        <v>0.37155333390804135</v>
      </c>
      <c r="N40">
        <f>'2023 components'!AA14</f>
        <v>0.20981061908861412</v>
      </c>
      <c r="O40">
        <f>'2023 components'!AB14</f>
        <v>2.765499223273549E-2</v>
      </c>
      <c r="P40">
        <f>'2023 components'!AC14</f>
        <v>0.45757058606196299</v>
      </c>
      <c r="Q40">
        <f>'2023 components'!AD14</f>
        <v>0</v>
      </c>
      <c r="T40">
        <f>'2023 components'!AG17</f>
        <v>0.4427448878615744</v>
      </c>
      <c r="U40">
        <f>'2023 components'!AH17</f>
        <v>2.2037157368483872E-3</v>
      </c>
      <c r="V40">
        <f>'2023 components'!AI17</f>
        <v>4.1756156794292863E-2</v>
      </c>
      <c r="W40">
        <f>'2023 components'!AJ17</f>
        <v>1.0010745187572745</v>
      </c>
      <c r="X40">
        <f>'2023 components'!AK21</f>
        <v>1.7708063721874043</v>
      </c>
      <c r="Y40">
        <f>'2023 components'!AL21</f>
        <v>0</v>
      </c>
      <c r="Z40">
        <f>'2023 components'!AM21</f>
        <v>0</v>
      </c>
      <c r="AA40">
        <f>'2023 components'!AN21</f>
        <v>0</v>
      </c>
      <c r="AB40">
        <f>'2023 components'!AO18</f>
        <v>47.585682423790196</v>
      </c>
      <c r="AC40">
        <f>'2023 components'!AP18</f>
        <v>0.15373698674784678</v>
      </c>
      <c r="AD40">
        <f>'2023 components'!AQ18</f>
        <v>40.949750209232455</v>
      </c>
      <c r="AE40">
        <f>'2023 components'!AR18</f>
        <v>0.28419018572091292</v>
      </c>
      <c r="AF40">
        <f>'2023 components'!AS18</f>
        <v>157.17560741575514</v>
      </c>
      <c r="AG40">
        <f>'2023 components'!AT18</f>
        <v>161.25115699804385</v>
      </c>
      <c r="AH40">
        <f>'2023 components'!AU18</f>
        <v>20.911062685354459</v>
      </c>
      <c r="AI40">
        <f>'2023 components'!AV18</f>
        <v>22.813034342203263</v>
      </c>
      <c r="AJ40">
        <f>'2023 components'!AW18</f>
        <v>34.309868603155259</v>
      </c>
      <c r="AK40">
        <f>'2023 components'!AX18</f>
        <v>14.47198545602275</v>
      </c>
      <c r="AM40">
        <f>'2023 components'!AZ21</f>
        <v>20.245142765795233</v>
      </c>
      <c r="AN40">
        <f>'2023 components'!BA21</f>
        <v>8.1296785617668021</v>
      </c>
      <c r="AO40">
        <f>'2023 components'!BB21</f>
        <v>24.321346007230513</v>
      </c>
      <c r="AP40">
        <f>'2023 components'!BC21</f>
        <v>10.284878384692947</v>
      </c>
    </row>
    <row r="41" spans="1:47" x14ac:dyDescent="0.25">
      <c r="D41" s="1" t="s">
        <v>159</v>
      </c>
      <c r="E41" s="1">
        <f>E39*E40</f>
        <v>0</v>
      </c>
      <c r="F41" s="1">
        <f t="shared" ref="F41:AP41" si="2">F39*F40</f>
        <v>97.808191506804391</v>
      </c>
      <c r="G41" s="1">
        <f t="shared" si="2"/>
        <v>0</v>
      </c>
      <c r="H41" s="1">
        <f t="shared" si="2"/>
        <v>0</v>
      </c>
      <c r="I41" s="1">
        <f t="shared" si="2"/>
        <v>149.5269997794</v>
      </c>
      <c r="J41" s="1">
        <f t="shared" si="2"/>
        <v>0</v>
      </c>
      <c r="K41" s="1">
        <f t="shared" si="2"/>
        <v>0</v>
      </c>
      <c r="L41" s="1">
        <f t="shared" si="2"/>
        <v>0</v>
      </c>
      <c r="M41" s="1">
        <f t="shared" si="2"/>
        <v>0</v>
      </c>
      <c r="N41" s="1">
        <f t="shared" si="2"/>
        <v>0.20981061908861412</v>
      </c>
      <c r="O41" s="1">
        <f t="shared" si="2"/>
        <v>2.765499223273549E-2</v>
      </c>
      <c r="P41" s="1">
        <f t="shared" si="2"/>
        <v>0.45757058606196299</v>
      </c>
      <c r="Q41" s="1">
        <f t="shared" si="2"/>
        <v>0</v>
      </c>
      <c r="R41" s="1">
        <f t="shared" si="2"/>
        <v>0</v>
      </c>
      <c r="S41" s="1">
        <f t="shared" si="2"/>
        <v>0</v>
      </c>
      <c r="T41" s="1">
        <f t="shared" si="2"/>
        <v>0.4427448878615744</v>
      </c>
      <c r="U41" s="1">
        <f t="shared" si="2"/>
        <v>2.2037157368483872E-3</v>
      </c>
      <c r="V41" s="1">
        <f t="shared" si="2"/>
        <v>4.1756156794292863E-2</v>
      </c>
      <c r="W41" s="1">
        <f t="shared" si="2"/>
        <v>0</v>
      </c>
      <c r="X41" s="1">
        <f t="shared" si="2"/>
        <v>1.7708063721874043</v>
      </c>
      <c r="Y41" s="1">
        <f t="shared" si="2"/>
        <v>0</v>
      </c>
      <c r="Z41" s="1">
        <f t="shared" si="2"/>
        <v>0</v>
      </c>
      <c r="AA41" s="1">
        <f t="shared" si="2"/>
        <v>0</v>
      </c>
      <c r="AB41" s="1">
        <f t="shared" si="2"/>
        <v>47.585682423790196</v>
      </c>
      <c r="AC41" s="1">
        <f t="shared" si="2"/>
        <v>0.15373698674784678</v>
      </c>
      <c r="AD41" s="1">
        <f t="shared" si="2"/>
        <v>0</v>
      </c>
      <c r="AE41" s="1">
        <f t="shared" si="2"/>
        <v>0</v>
      </c>
      <c r="AF41" s="1">
        <f t="shared" si="2"/>
        <v>0</v>
      </c>
      <c r="AG41" s="1">
        <f t="shared" si="2"/>
        <v>161.25115699804385</v>
      </c>
      <c r="AH41" s="1">
        <f t="shared" si="2"/>
        <v>0</v>
      </c>
      <c r="AI41" s="1">
        <f t="shared" si="2"/>
        <v>22.813034342203263</v>
      </c>
      <c r="AJ41" s="1">
        <f t="shared" si="2"/>
        <v>34.309868603155259</v>
      </c>
      <c r="AK41" s="1">
        <f t="shared" si="2"/>
        <v>0</v>
      </c>
      <c r="AL41" s="1">
        <f t="shared" si="2"/>
        <v>0</v>
      </c>
      <c r="AM41" s="1">
        <f t="shared" si="2"/>
        <v>20.245142765795233</v>
      </c>
      <c r="AN41" s="1">
        <f t="shared" si="2"/>
        <v>0</v>
      </c>
      <c r="AO41" s="1">
        <f t="shared" si="2"/>
        <v>0</v>
      </c>
      <c r="AP41" s="1">
        <f t="shared" si="2"/>
        <v>0</v>
      </c>
    </row>
    <row r="42" spans="1:47" x14ac:dyDescent="0.25">
      <c r="D42" s="1" t="s">
        <v>87</v>
      </c>
      <c r="E42" t="s">
        <v>76</v>
      </c>
      <c r="F42" t="s">
        <v>76</v>
      </c>
      <c r="G42" t="s">
        <v>76</v>
      </c>
      <c r="H42" t="s">
        <v>76</v>
      </c>
      <c r="I42" t="s">
        <v>76</v>
      </c>
      <c r="J42" t="s">
        <v>76</v>
      </c>
      <c r="K42" t="s">
        <v>72</v>
      </c>
      <c r="M42" t="s">
        <v>7</v>
      </c>
      <c r="N42" t="s">
        <v>7</v>
      </c>
      <c r="O42" t="s">
        <v>7</v>
      </c>
      <c r="P42" t="s">
        <v>7</v>
      </c>
      <c r="Q42" t="s">
        <v>7</v>
      </c>
      <c r="T42" t="s">
        <v>154</v>
      </c>
      <c r="U42" t="s">
        <v>154</v>
      </c>
      <c r="V42" t="s">
        <v>154</v>
      </c>
      <c r="W42" t="s">
        <v>154</v>
      </c>
      <c r="X42" t="s">
        <v>155</v>
      </c>
      <c r="Y42" t="s">
        <v>155</v>
      </c>
      <c r="Z42" t="s">
        <v>155</v>
      </c>
      <c r="AA42" t="s">
        <v>155</v>
      </c>
      <c r="AB42" t="s">
        <v>10</v>
      </c>
      <c r="AC42" t="s">
        <v>10</v>
      </c>
      <c r="AD42" t="s">
        <v>10</v>
      </c>
      <c r="AE42" t="s">
        <v>10</v>
      </c>
      <c r="AF42" t="s">
        <v>10</v>
      </c>
      <c r="AG42" t="s">
        <v>10</v>
      </c>
      <c r="AH42" t="s">
        <v>10</v>
      </c>
      <c r="AI42" t="s">
        <v>10</v>
      </c>
      <c r="AJ42" t="s">
        <v>10</v>
      </c>
      <c r="AK42" t="s">
        <v>10</v>
      </c>
      <c r="AM42" t="s">
        <v>155</v>
      </c>
      <c r="AN42" t="s">
        <v>155</v>
      </c>
      <c r="AO42" t="s">
        <v>155</v>
      </c>
      <c r="AP42" t="s">
        <v>155</v>
      </c>
    </row>
    <row r="44" spans="1:47" x14ac:dyDescent="0.25">
      <c r="AC44" t="s">
        <v>156</v>
      </c>
    </row>
    <row r="45" spans="1:47" x14ac:dyDescent="0.25">
      <c r="AC45" t="s">
        <v>157</v>
      </c>
      <c r="AD45">
        <f>AB41+AD41</f>
        <v>47.585682423790196</v>
      </c>
    </row>
    <row r="46" spans="1:47" x14ac:dyDescent="0.25">
      <c r="AC46" t="s">
        <v>11</v>
      </c>
      <c r="AD46">
        <f>SUM(AF41:AK41)</f>
        <v>218.37405994340236</v>
      </c>
    </row>
    <row r="47" spans="1:47" x14ac:dyDescent="0.25">
      <c r="AC47" t="s">
        <v>158</v>
      </c>
      <c r="AD47">
        <f>SUM(AC41,AE41)*AD46</f>
        <v>33.572169959592344</v>
      </c>
    </row>
    <row r="48" spans="1:47" x14ac:dyDescent="0.25">
      <c r="AC48" t="s">
        <v>146</v>
      </c>
      <c r="AD48">
        <f>AD45+AD47</f>
        <v>81.157852383382533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B0B37-4FD4-4FC5-911F-B128B442C585}">
  <dimension ref="A1:AU48"/>
  <sheetViews>
    <sheetView zoomScaleNormal="100" workbookViewId="0">
      <pane xSplit="1" topLeftCell="B1" activePane="topRight" state="frozen"/>
      <selection activeCell="B2" sqref="B2:L24"/>
      <selection pane="topRight" activeCell="B2" sqref="B2:L24"/>
    </sheetView>
  </sheetViews>
  <sheetFormatPr defaultColWidth="8.85546875" defaultRowHeight="15" x14ac:dyDescent="0.25"/>
  <cols>
    <col min="1" max="1" width="15.42578125" customWidth="1"/>
    <col min="2" max="2" width="14" customWidth="1"/>
    <col min="4" max="4" width="11.85546875" customWidth="1"/>
    <col min="5" max="5" width="11" customWidth="1"/>
    <col min="35" max="35" width="11" customWidth="1"/>
    <col min="36" max="36" width="11.42578125" customWidth="1"/>
    <col min="37" max="37" width="14.140625" customWidth="1"/>
  </cols>
  <sheetData>
    <row r="1" spans="1:12" x14ac:dyDescent="0.25">
      <c r="A1" s="1" t="s">
        <v>141</v>
      </c>
    </row>
    <row r="2" spans="1:12" x14ac:dyDescent="0.25">
      <c r="A2" t="s">
        <v>88</v>
      </c>
      <c r="B2">
        <v>2</v>
      </c>
    </row>
    <row r="3" spans="1:12" x14ac:dyDescent="0.25">
      <c r="A3" t="s">
        <v>89</v>
      </c>
      <c r="B3">
        <v>0</v>
      </c>
    </row>
    <row r="5" spans="1:12" x14ac:dyDescent="0.25">
      <c r="A5" t="s">
        <v>55</v>
      </c>
      <c r="B5" t="s">
        <v>56</v>
      </c>
      <c r="C5" t="s">
        <v>57</v>
      </c>
      <c r="D5" t="s">
        <v>58</v>
      </c>
      <c r="E5" t="s">
        <v>90</v>
      </c>
    </row>
    <row r="6" spans="1:12" x14ac:dyDescent="0.25">
      <c r="A6">
        <v>0</v>
      </c>
      <c r="B6">
        <v>1</v>
      </c>
      <c r="C6">
        <v>1</v>
      </c>
      <c r="D6">
        <v>1</v>
      </c>
      <c r="E6">
        <f>SUM(A6:D6)</f>
        <v>3</v>
      </c>
    </row>
    <row r="8" spans="1:12" x14ac:dyDescent="0.25">
      <c r="A8" s="1" t="s">
        <v>87</v>
      </c>
      <c r="B8" t="s">
        <v>0</v>
      </c>
      <c r="C8" t="s">
        <v>1</v>
      </c>
      <c r="D8" t="s">
        <v>2</v>
      </c>
      <c r="E8" t="s">
        <v>3</v>
      </c>
      <c r="F8" t="s">
        <v>91</v>
      </c>
      <c r="G8" t="s">
        <v>92</v>
      </c>
      <c r="H8" t="s">
        <v>93</v>
      </c>
      <c r="I8" t="s">
        <v>94</v>
      </c>
      <c r="J8" t="s">
        <v>95</v>
      </c>
      <c r="K8" t="s">
        <v>96</v>
      </c>
      <c r="L8" t="s">
        <v>97</v>
      </c>
    </row>
    <row r="9" spans="1:12" x14ac:dyDescent="0.25">
      <c r="B9">
        <f>IF(AND(B2=1,E6=0),1,0)</f>
        <v>0</v>
      </c>
      <c r="C9">
        <f>IF(AND(B2=2,E6=0),1,0)</f>
        <v>0</v>
      </c>
      <c r="D9">
        <f>IF(AND(B3=1,E6=0),1,0)</f>
        <v>0</v>
      </c>
      <c r="E9">
        <f>IF(AND(B3=2,E6=0),1,0)</f>
        <v>0</v>
      </c>
      <c r="F9">
        <f>IF(AND(B2=1,E6=1),1,0)</f>
        <v>0</v>
      </c>
      <c r="G9">
        <f>IF(AND(B2=1,E6=2),1,0)</f>
        <v>0</v>
      </c>
      <c r="H9">
        <f>IF(AND(B2=1,E6=3),1,0)</f>
        <v>0</v>
      </c>
      <c r="I9">
        <f>IF(AND(B2=2,E6=1),1,0)</f>
        <v>0</v>
      </c>
      <c r="J9">
        <f>IF(AND(B2=2,E6=2),1,0)</f>
        <v>0</v>
      </c>
      <c r="K9">
        <f>IF(AND(B2=2,E6=3),1,0)</f>
        <v>1</v>
      </c>
      <c r="L9">
        <f>IF(AND(B2=2,E6=4),1,0)</f>
        <v>0</v>
      </c>
    </row>
    <row r="11" spans="1:12" x14ac:dyDescent="0.25">
      <c r="A11" s="1"/>
      <c r="B11" s="1" t="s">
        <v>146</v>
      </c>
      <c r="C11" s="10" t="s">
        <v>147</v>
      </c>
      <c r="D11" s="10" t="s">
        <v>148</v>
      </c>
      <c r="E11" s="10" t="s">
        <v>98</v>
      </c>
    </row>
    <row r="12" spans="1:12" x14ac:dyDescent="0.25">
      <c r="A12" s="9" t="s">
        <v>64</v>
      </c>
      <c r="C12" s="10"/>
      <c r="D12" s="10"/>
      <c r="E12" s="10"/>
    </row>
    <row r="13" spans="1:12" x14ac:dyDescent="0.25">
      <c r="A13" s="8" t="s">
        <v>65</v>
      </c>
      <c r="B13">
        <f>C13+D13+E13</f>
        <v>186.48638248175712</v>
      </c>
      <c r="C13" s="10">
        <f>SUM(B$9*'2023 components'!C5,C$9*'2023 components'!D5,D$9*'2023 components'!E5,E$9*'2023 components'!F5,F$9*'2023 components'!G5,G$9*'2023 components'!H5,H$9*'2023 components'!I5,I$9*'2023 components'!J5,J$9*'2023 components'!K5,K$9*'2023 components'!L5,L$9*'2023 components'!M5)</f>
        <v>94.459651699928543</v>
      </c>
      <c r="D13" s="10">
        <f>SUM(A$6*'2023 components'!N5,B$6*'2023 components'!O5,C$6*'2023 components'!P5,D$6*'2023 components'!Q5)</f>
        <v>92.02673078182859</v>
      </c>
      <c r="E13" s="10"/>
    </row>
    <row r="14" spans="1:12" x14ac:dyDescent="0.25">
      <c r="A14" s="8" t="s">
        <v>66</v>
      </c>
      <c r="B14">
        <f t="shared" ref="B14:B29" si="0">C14+D14+E14</f>
        <v>11.411996649459066</v>
      </c>
      <c r="C14" s="10">
        <f>SUM(B$9*'2023 components'!C6,C$9*'2023 components'!D6,D$9*'2023 components'!E6,E$9*'2023 components'!F6,F$9*'2023 components'!G6,G$9*'2023 components'!H6,H$9*'2023 components'!I6,I$9*'2023 components'!J6,J$9*'2023 components'!K6,K$9*'2023 components'!L6,L$9*'2023 components'!M6)</f>
        <v>11.411996649459066</v>
      </c>
      <c r="D14" s="10">
        <f>SUM(A$6*'2023 components'!N6,B$6*'2023 components'!O6,C$6*'2023 components'!P6,D$6*'2023 components'!Q6)</f>
        <v>0</v>
      </c>
      <c r="E14" s="10"/>
    </row>
    <row r="15" spans="1:12" x14ac:dyDescent="0.25">
      <c r="A15" s="8" t="s">
        <v>67</v>
      </c>
      <c r="B15">
        <f t="shared" si="0"/>
        <v>0</v>
      </c>
      <c r="C15" s="10">
        <f>SUM(B$9*'2023 components'!C7,C$9*'2023 components'!D7,D$9*'2023 components'!E7,E$9*'2023 components'!F7,F$9*'2023 components'!G7,G$9*'2023 components'!H7,H$9*'2023 components'!I7,I$9*'2023 components'!J7,J$9*'2023 components'!K7,K$9*'2023 components'!L7,L$9*'2023 components'!M7)</f>
        <v>0</v>
      </c>
      <c r="D15" s="10">
        <f>SUM(A$6*'2023 components'!N7,B$6*'2023 components'!O7,C$6*'2023 components'!P7,D$6*'2023 components'!Q7)</f>
        <v>0</v>
      </c>
      <c r="E15" s="10"/>
    </row>
    <row r="16" spans="1:12" x14ac:dyDescent="0.25">
      <c r="A16" s="8" t="s">
        <v>68</v>
      </c>
      <c r="B16">
        <f t="shared" si="0"/>
        <v>71.2242310433829</v>
      </c>
      <c r="C16" s="10">
        <f>SUM(B$9*'2023 components'!C8,C$9*'2023 components'!D8,D$9*'2023 components'!E8,E$9*'2023 components'!F8,F$9*'2023 components'!G8,G$9*'2023 components'!H8,H$9*'2023 components'!I8,I$9*'2023 components'!J8,J$9*'2023 components'!K8,K$9*'2023 components'!L8,L$9*'2023 components'!M8)</f>
        <v>27.363729007119129</v>
      </c>
      <c r="D16" s="10">
        <f>SUM(A$6*'2023 components'!N8,B$6*'2023 components'!O8,C$6*'2023 components'!P8,D$6*'2023 components'!Q8)</f>
        <v>43.860502036263767</v>
      </c>
      <c r="E16" s="10"/>
    </row>
    <row r="17" spans="1:11" x14ac:dyDescent="0.25">
      <c r="A17" s="8" t="s">
        <v>69</v>
      </c>
      <c r="B17">
        <f t="shared" si="0"/>
        <v>12.54056925996205</v>
      </c>
      <c r="C17" s="10">
        <f>SUM(B$9*'2023 components'!C9,C$9*'2023 components'!D9,D$9*'2023 components'!E9,E$9*'2023 components'!F9,F$9*'2023 components'!G9,G$9*'2023 components'!H9,H$9*'2023 components'!I9,I$9*'2023 components'!J9,J$9*'2023 components'!K9,K$9*'2023 components'!L9,L$9*'2023 components'!M9)</f>
        <v>12.54056925996205</v>
      </c>
      <c r="D17" s="10">
        <f>SUM(A$6*'2023 components'!N9,B$6*'2023 components'!O9,C$6*'2023 components'!P9,D$6*'2023 components'!Q9)</f>
        <v>0</v>
      </c>
      <c r="E17" s="10"/>
    </row>
    <row r="18" spans="1:11" x14ac:dyDescent="0.25">
      <c r="A18" s="8" t="s">
        <v>70</v>
      </c>
      <c r="B18">
        <f t="shared" si="0"/>
        <v>32.174177777777778</v>
      </c>
      <c r="C18" s="10">
        <f>SUM(B$9*'2023 components'!C10,C$9*'2023 components'!D10,D$9*'2023 components'!E10,E$9*'2023 components'!F10,F$9*'2023 components'!G10,G$9*'2023 components'!H10,H$9*'2023 components'!I10,I$9*'2023 components'!J10,J$9*'2023 components'!K10,K$9*'2023 components'!L10,L$9*'2023 components'!M10)</f>
        <v>32.174177777777778</v>
      </c>
      <c r="D18" s="10">
        <f>SUM(A$6*'2023 components'!N10,B$6*'2023 components'!O10,C$6*'2023 components'!P10,D$6*'2023 components'!Q10)</f>
        <v>0</v>
      </c>
      <c r="E18" s="10"/>
    </row>
    <row r="19" spans="1:11" x14ac:dyDescent="0.25">
      <c r="A19" s="8" t="s">
        <v>71</v>
      </c>
      <c r="B19">
        <f t="shared" si="0"/>
        <v>1.9295773058608476</v>
      </c>
      <c r="C19" s="10">
        <f>SUM(B$9*'2023 components'!C11,C$9*'2023 components'!D11,D$9*'2023 components'!E11,E$9*'2023 components'!F11,F$9*'2023 components'!G11,G$9*'2023 components'!H11,H$9*'2023 components'!I11,I$9*'2023 components'!J11,J$9*'2023 components'!K11,K$9*'2023 components'!L11,L$9*'2023 components'!M11)</f>
        <v>1.9295773058608476</v>
      </c>
      <c r="D19" s="10">
        <f>SUM(A$6*'2023 components'!N11,B$6*'2023 components'!O11,C$6*'2023 components'!P11,D$6*'2023 components'!Q11)</f>
        <v>0</v>
      </c>
      <c r="E19" s="10"/>
    </row>
    <row r="20" spans="1:11" x14ac:dyDescent="0.25">
      <c r="A20" s="8" t="s">
        <v>72</v>
      </c>
      <c r="B20">
        <f t="shared" si="0"/>
        <v>65.053286148219186</v>
      </c>
      <c r="C20" s="10">
        <f>SUM(B$9*'2023 components'!C12,C$9*'2023 components'!D12,D$9*'2023 components'!E12,E$9*'2023 components'!F12,F$9*'2023 components'!G12,G$9*'2023 components'!H12,H$9*'2023 components'!I12,I$9*'2023 components'!J12,J$9*'2023 components'!K12,K$9*'2023 components'!L12,L$9*'2023 components'!M12)</f>
        <v>65.053286148219186</v>
      </c>
      <c r="D20" s="10">
        <f>SUM(A$6*'2023 components'!N12,B$6*'2023 components'!O12,C$6*'2023 components'!P12,D$6*'2023 components'!Q12)</f>
        <v>0</v>
      </c>
      <c r="E20" s="10">
        <f>K41</f>
        <v>0</v>
      </c>
    </row>
    <row r="21" spans="1:11" x14ac:dyDescent="0.25">
      <c r="A21" s="8" t="s">
        <v>73</v>
      </c>
      <c r="B21">
        <f t="shared" si="0"/>
        <v>2.1941982272361029</v>
      </c>
      <c r="C21" s="10">
        <f>SUM(B$9*'2023 components'!C13,C$9*'2023 components'!D13,D$9*'2023 components'!E13,E$9*'2023 components'!F13,F$9*'2023 components'!G13,G$9*'2023 components'!H13,H$9*'2023 components'!I13,I$9*'2023 components'!J13,J$9*'2023 components'!K13,K$9*'2023 components'!L13,L$9*'2023 components'!M13)</f>
        <v>2.1941982272361029</v>
      </c>
      <c r="D21" s="10">
        <f>SUM(A$6*'2023 components'!N13,B$6*'2023 components'!O13,C$6*'2023 components'!P13,D$6*'2023 components'!Q13)</f>
        <v>0</v>
      </c>
      <c r="E21" s="10"/>
    </row>
    <row r="22" spans="1:11" x14ac:dyDescent="0.25">
      <c r="A22" s="8" t="s">
        <v>74</v>
      </c>
      <c r="B22">
        <f t="shared" si="0"/>
        <v>38.385073920368065</v>
      </c>
      <c r="C22" s="10">
        <f>SUM(B$9*'2023 components'!C14,C$9*'2023 components'!D14,D$9*'2023 components'!E14,E$9*'2023 components'!F14,F$9*'2023 components'!G14,G$9*'2023 components'!H14,H$9*'2023 components'!I14,I$9*'2023 components'!J14,J$9*'2023 components'!K14,K$9*'2023 components'!L14,L$9*'2023 components'!M14)</f>
        <v>28.296944752634417</v>
      </c>
      <c r="D22" s="10">
        <f>SUM(A$6*'2023 components'!N14,B$6*'2023 components'!O14,C$6*'2023 components'!P14,D$6*'2023 components'!Q14)</f>
        <v>9.3930929703503416</v>
      </c>
      <c r="E22" s="10">
        <f>SUM(M41:Q41)</f>
        <v>0.69503619738331257</v>
      </c>
    </row>
    <row r="23" spans="1:11" x14ac:dyDescent="0.25">
      <c r="A23" s="8" t="s">
        <v>75</v>
      </c>
      <c r="B23">
        <f t="shared" si="0"/>
        <v>14.953520348344085</v>
      </c>
      <c r="C23" s="10">
        <f>SUM(B$9*'2023 components'!C15,C$9*'2023 components'!D15,D$9*'2023 components'!E15,E$9*'2023 components'!F15,F$9*'2023 components'!G15,G$9*'2023 components'!H15,H$9*'2023 components'!I15,I$9*'2023 components'!J15,J$9*'2023 components'!K15,K$9*'2023 components'!L15,L$9*'2023 components'!M15)</f>
        <v>11.965218785372629</v>
      </c>
      <c r="D23" s="10">
        <f>SUM(A$6*'2023 components'!N15,B$6*'2023 components'!O15,C$6*'2023 components'!P15,D$6*'2023 components'!Q15)</f>
        <v>2.9883015629714564</v>
      </c>
      <c r="E23" s="10"/>
    </row>
    <row r="24" spans="1:11" x14ac:dyDescent="0.25">
      <c r="A24" s="8" t="s">
        <v>76</v>
      </c>
      <c r="B24">
        <f t="shared" si="0"/>
        <v>247.33519128620441</v>
      </c>
      <c r="C24" s="10">
        <f>SUM(B$9*'2023 components'!C16,C$9*'2023 components'!D16,D$9*'2023 components'!E16,E$9*'2023 components'!F16,F$9*'2023 components'!G16,G$9*'2023 components'!H16,H$9*'2023 components'!I16,I$9*'2023 components'!J16,J$9*'2023 components'!K16,K$9*'2023 components'!L16,L$9*'2023 components'!M16)</f>
        <v>0</v>
      </c>
      <c r="D24" s="10">
        <f>SUM(A$6*'2023 components'!N16,B$6*'2023 components'!O16,C$6*'2023 components'!P16,D$6*'2023 components'!Q16)</f>
        <v>0</v>
      </c>
      <c r="E24" s="10">
        <f>SUM(E41:J41)</f>
        <v>247.33519128620441</v>
      </c>
    </row>
    <row r="25" spans="1:11" x14ac:dyDescent="0.25">
      <c r="A25" s="8" t="s">
        <v>77</v>
      </c>
      <c r="B25">
        <f t="shared" si="0"/>
        <v>68.680160077887805</v>
      </c>
      <c r="C25" s="10">
        <f>SUM(B$9*'2023 components'!C17,C$9*'2023 components'!D17,D$9*'2023 components'!E17,E$9*'2023 components'!F17,F$9*'2023 components'!G17,G$9*'2023 components'!H17,H$9*'2023 components'!I17,I$9*'2023 components'!J17,J$9*'2023 components'!K17,K$9*'2023 components'!L17,L$9*'2023 components'!M17)</f>
        <v>37.991145515334232</v>
      </c>
      <c r="D25" s="10">
        <f>SUM(A$6*'2023 components'!N17,B$6*'2023 components'!O17,C$6*'2023 components'!P17,D$6*'2023 components'!Q17)</f>
        <v>30.202309802160858</v>
      </c>
      <c r="E25" s="10">
        <f>SUM(T41:W41)</f>
        <v>0.48670476039271565</v>
      </c>
    </row>
    <row r="26" spans="1:11" x14ac:dyDescent="0.25">
      <c r="A26" s="8" t="s">
        <v>10</v>
      </c>
      <c r="B26">
        <f t="shared" si="0"/>
        <v>107.1223110956752</v>
      </c>
      <c r="C26" s="10">
        <f>SUM(B$9*'2023 components'!C18,C$9*'2023 components'!D18,D$9*'2023 components'!E18,E$9*'2023 components'!F18,F$9*'2023 components'!G18,G$9*'2023 components'!H18,H$9*'2023 components'!I18,I$9*'2023 components'!J18,J$9*'2023 components'!K18,K$9*'2023 components'!L18,L$9*'2023 components'!M18)</f>
        <v>0</v>
      </c>
      <c r="D26" s="10">
        <f>SUM(A$6*'2023 components'!N18,B$6*'2023 components'!O18,C$6*'2023 components'!P18,D$6*'2023 components'!Q18)</f>
        <v>0</v>
      </c>
      <c r="E26" s="10">
        <f>AD48</f>
        <v>107.1223110956752</v>
      </c>
    </row>
    <row r="27" spans="1:11" x14ac:dyDescent="0.25">
      <c r="A27" s="8" t="s">
        <v>78</v>
      </c>
      <c r="B27">
        <f t="shared" si="0"/>
        <v>57.824861176392147</v>
      </c>
      <c r="C27">
        <f>I27+I28</f>
        <v>44.967657014993087</v>
      </c>
      <c r="D27">
        <f t="shared" ref="D27:E27" si="1">J27+J28</f>
        <v>12.857204161399059</v>
      </c>
      <c r="E27">
        <f t="shared" si="1"/>
        <v>0</v>
      </c>
      <c r="G27" t="s">
        <v>169</v>
      </c>
      <c r="H27">
        <f>I27+J27+K27</f>
        <v>39.719002816707835</v>
      </c>
      <c r="I27" s="10">
        <f>SUM(B$9*'2023 components'!C19,C$9*'2023 components'!D19,D$9*'2023 components'!E19,E$9*'2023 components'!F19,F$9*'2023 components'!G19,G$9*'2023 components'!H19,H$9*'2023 components'!I19,I$9*'2023 components'!J19,J$9*'2023 components'!K19,K$9*'2023 components'!L19,L$9*'2023 components'!M19)</f>
        <v>28.501833740831302</v>
      </c>
      <c r="J27" s="10">
        <f>SUM(A$6*'2023 components'!N19,B$6*'2023 components'!O19,C$6*'2023 components'!P19,D$6*'2023 components'!Q19)</f>
        <v>11.217169075876532</v>
      </c>
      <c r="K27" s="10"/>
    </row>
    <row r="28" spans="1:11" x14ac:dyDescent="0.25">
      <c r="A28" s="8" t="s">
        <v>79</v>
      </c>
      <c r="B28">
        <f t="shared" si="0"/>
        <v>169.28837714480392</v>
      </c>
      <c r="C28" s="10">
        <f>SUM(B$9*'2023 components'!C21,C$9*'2023 components'!D21,D$9*'2023 components'!E21,E$9*'2023 components'!F21,F$9*'2023 components'!G21,G$9*'2023 components'!H21,H$9*'2023 components'!I21,I$9*'2023 components'!J21,J$9*'2023 components'!K21,K$9*'2023 components'!L21,L$9*'2023 components'!M21)</f>
        <v>49.992519752838454</v>
      </c>
      <c r="D28" s="10">
        <f>SUM(A$6*'2023 components'!N21,B$6*'2023 components'!O21,C$6*'2023 components'!P21,D$6*'2023 components'!Q21)</f>
        <v>93.203705012547545</v>
      </c>
      <c r="E28" s="10">
        <f>SUM(X41:AA41)+SUM(AM41:AP41)</f>
        <v>26.092152379417918</v>
      </c>
      <c r="G28" t="s">
        <v>170</v>
      </c>
      <c r="H28">
        <f>I28+J28+K28</f>
        <v>18.105858359684312</v>
      </c>
      <c r="I28" s="10">
        <f>SUM(B$9*'2023 components'!C20,C$9*'2023 components'!D20,D$9*'2023 components'!E20,E$9*'2023 components'!F20,F$9*'2023 components'!G20,G$9*'2023 components'!H20,H$9*'2023 components'!I20,I$9*'2023 components'!J20,J$9*'2023 components'!K20,K$9*'2023 components'!L20,L$9*'2023 components'!M20)</f>
        <v>16.465823274161785</v>
      </c>
      <c r="J28" s="10">
        <f>SUM(A$6*'2023 components'!N20,B$6*'2023 components'!O20,C$6*'2023 components'!P20,D$6*'2023 components'!Q20)</f>
        <v>1.640035085522527</v>
      </c>
      <c r="K28" s="10"/>
    </row>
    <row r="29" spans="1:11" x14ac:dyDescent="0.25">
      <c r="A29" s="8" t="s">
        <v>80</v>
      </c>
      <c r="B29">
        <f t="shared" si="0"/>
        <v>107.58054704143699</v>
      </c>
      <c r="C29" s="10">
        <f>SUM(B$9*'2023 components'!C22,C$9*'2023 components'!D22,D$9*'2023 components'!E22,E$9*'2023 components'!F22,F$9*'2023 components'!G22,G$9*'2023 components'!H22,H$9*'2023 components'!I22,I$9*'2023 components'!J22,J$9*'2023 components'!K22,K$9*'2023 components'!L22,L$9*'2023 components'!M22)</f>
        <v>107.58054704143699</v>
      </c>
      <c r="D29" s="10">
        <f>SUM(A$6*'2023 components'!N22,B$6*'2023 components'!O22,C$6*'2023 components'!P22,D$6*'2023 components'!Q22)</f>
        <v>0</v>
      </c>
      <c r="E29" s="10"/>
    </row>
    <row r="30" spans="1:11" x14ac:dyDescent="0.25">
      <c r="E30" s="10"/>
    </row>
    <row r="33" spans="1:47" x14ac:dyDescent="0.25">
      <c r="A33" s="11" t="s">
        <v>78</v>
      </c>
      <c r="B33" s="11" t="s">
        <v>149</v>
      </c>
      <c r="C33" s="11">
        <f>SUM(B$9*'2023 components'!C17,C$9*'2023 components'!D17,D$9*'2023 components'!E17,E$9*'2023 components'!F17,F$9*'2023 components'!G17,G$9*'2023 components'!H17,H$9*'2023 components'!I17,I$9*'2023 components'!J17,J$9*'2023 components'!K17,K$9*'2023 components'!L17,L$9*'2023 components'!M17)</f>
        <v>37.991145515334232</v>
      </c>
      <c r="D33" s="10">
        <f>SUM(A$6*'2023 components'!N17,B$6*'2023 components'!O17,C$6*'2023 components'!P17,D$6*'2023 components'!Q17)</f>
        <v>30.202309802160858</v>
      </c>
    </row>
    <row r="34" spans="1:47" x14ac:dyDescent="0.25">
      <c r="A34" s="11"/>
      <c r="B34" s="11" t="s">
        <v>150</v>
      </c>
      <c r="C34" s="11">
        <f>SUM(B$9*'2023 components'!C18,C$9*'2023 components'!D18,D$9*'2023 components'!E18,E$9*'2023 components'!F18,F$9*'2023 components'!G18,G$9*'2023 components'!H18,H$9*'2023 components'!I18,I$9*'2023 components'!J18,J$9*'2023 components'!K18,K$9*'2023 components'!L18,L$9*'2023 components'!M18)</f>
        <v>0</v>
      </c>
      <c r="D34" s="10">
        <f>SUM(A$6*'2023 components'!N18,B$6*'2023 components'!O18,C$6*'2023 components'!P18,D$6*'2023 components'!Q18)</f>
        <v>0</v>
      </c>
    </row>
    <row r="35" spans="1:47" x14ac:dyDescent="0.25">
      <c r="A35" s="11"/>
      <c r="B35" s="11" t="s">
        <v>151</v>
      </c>
      <c r="C35" s="11">
        <f>C33+C34</f>
        <v>37.991145515334232</v>
      </c>
      <c r="D35" s="11">
        <f>D33+D34</f>
        <v>30.202309802160858</v>
      </c>
    </row>
    <row r="37" spans="1:47" ht="45" x14ac:dyDescent="0.25">
      <c r="E37" t="s">
        <v>28</v>
      </c>
      <c r="F37" t="s">
        <v>29</v>
      </c>
      <c r="G37" t="s">
        <v>30</v>
      </c>
      <c r="H37" t="s">
        <v>31</v>
      </c>
      <c r="I37" t="s">
        <v>32</v>
      </c>
      <c r="J37" t="s">
        <v>33</v>
      </c>
      <c r="K37" t="s">
        <v>34</v>
      </c>
      <c r="L37" t="s">
        <v>35</v>
      </c>
      <c r="M37" t="s">
        <v>36</v>
      </c>
      <c r="N37" t="s">
        <v>37</v>
      </c>
      <c r="O37" t="s">
        <v>38</v>
      </c>
      <c r="P37" t="s">
        <v>39</v>
      </c>
      <c r="Q37" t="s">
        <v>40</v>
      </c>
      <c r="R37" t="s">
        <v>41</v>
      </c>
      <c r="S37" t="s">
        <v>42</v>
      </c>
      <c r="T37" t="s">
        <v>39</v>
      </c>
      <c r="U37" t="s">
        <v>40</v>
      </c>
      <c r="V37" t="s">
        <v>99</v>
      </c>
      <c r="W37" s="3" t="s">
        <v>44</v>
      </c>
      <c r="X37" t="s">
        <v>100</v>
      </c>
      <c r="Y37" t="s">
        <v>101</v>
      </c>
      <c r="Z37" t="s">
        <v>102</v>
      </c>
      <c r="AA37" t="s">
        <v>48</v>
      </c>
      <c r="AB37" t="s">
        <v>49</v>
      </c>
      <c r="AC37" t="s">
        <v>50</v>
      </c>
      <c r="AD37" t="s">
        <v>51</v>
      </c>
      <c r="AE37" t="s">
        <v>52</v>
      </c>
      <c r="AF37" t="s">
        <v>53</v>
      </c>
      <c r="AG37" t="s">
        <v>54</v>
      </c>
      <c r="AH37" t="s">
        <v>55</v>
      </c>
      <c r="AI37" t="s">
        <v>56</v>
      </c>
      <c r="AJ37" t="s">
        <v>57</v>
      </c>
      <c r="AK37" t="s">
        <v>58</v>
      </c>
      <c r="AL37" t="s">
        <v>145</v>
      </c>
      <c r="AM37" t="s">
        <v>60</v>
      </c>
      <c r="AN37" t="s">
        <v>61</v>
      </c>
      <c r="AO37" t="s">
        <v>62</v>
      </c>
      <c r="AP37" t="s">
        <v>63</v>
      </c>
      <c r="AT37" t="s">
        <v>144</v>
      </c>
    </row>
    <row r="38" spans="1:47" ht="45" x14ac:dyDescent="0.25">
      <c r="D38" s="12" t="s">
        <v>152</v>
      </c>
      <c r="E38" t="s">
        <v>103</v>
      </c>
      <c r="F38" t="s">
        <v>104</v>
      </c>
      <c r="G38" t="s">
        <v>105</v>
      </c>
      <c r="H38" t="s">
        <v>106</v>
      </c>
      <c r="I38" t="s">
        <v>107</v>
      </c>
      <c r="J38" t="s">
        <v>108</v>
      </c>
      <c r="K38" t="s">
        <v>109</v>
      </c>
      <c r="L38" t="s">
        <v>110</v>
      </c>
      <c r="M38" t="s">
        <v>111</v>
      </c>
      <c r="N38" t="s">
        <v>112</v>
      </c>
      <c r="O38" t="s">
        <v>113</v>
      </c>
      <c r="P38" t="s">
        <v>114</v>
      </c>
      <c r="Q38" t="s">
        <v>115</v>
      </c>
      <c r="R38" t="s">
        <v>116</v>
      </c>
      <c r="S38" t="s">
        <v>117</v>
      </c>
      <c r="T38" t="s">
        <v>118</v>
      </c>
      <c r="U38" t="s">
        <v>119</v>
      </c>
      <c r="V38" t="s">
        <v>120</v>
      </c>
      <c r="W38" t="s">
        <v>121</v>
      </c>
      <c r="X38" t="s">
        <v>122</v>
      </c>
      <c r="Y38" t="s">
        <v>123</v>
      </c>
      <c r="Z38" t="s">
        <v>124</v>
      </c>
      <c r="AA38" t="s">
        <v>125</v>
      </c>
      <c r="AB38" t="s">
        <v>126</v>
      </c>
      <c r="AC38" t="s">
        <v>127</v>
      </c>
      <c r="AD38" t="s">
        <v>128</v>
      </c>
      <c r="AE38" t="s">
        <v>129</v>
      </c>
      <c r="AF38" t="s">
        <v>130</v>
      </c>
      <c r="AG38" t="s">
        <v>131</v>
      </c>
      <c r="AH38" t="s">
        <v>132</v>
      </c>
      <c r="AI38" t="s">
        <v>133</v>
      </c>
      <c r="AJ38" t="s">
        <v>134</v>
      </c>
      <c r="AK38" t="s">
        <v>135</v>
      </c>
      <c r="AL38" t="s">
        <v>136</v>
      </c>
      <c r="AM38" t="s">
        <v>137</v>
      </c>
      <c r="AN38" t="s">
        <v>138</v>
      </c>
      <c r="AO38" t="s">
        <v>139</v>
      </c>
      <c r="AP38" t="s">
        <v>140</v>
      </c>
      <c r="AT38" t="s">
        <v>142</v>
      </c>
      <c r="AU38">
        <f>IF(AND(E6&gt;0,AU39=0),1,0)</f>
        <v>0</v>
      </c>
    </row>
    <row r="39" spans="1:47" x14ac:dyDescent="0.25">
      <c r="D39" s="1" t="s">
        <v>160</v>
      </c>
      <c r="E39">
        <f>IF(AND(C6&gt;0,(B6+C6=0)),1,0)</f>
        <v>0</v>
      </c>
      <c r="F39">
        <f>C6-E39</f>
        <v>1</v>
      </c>
      <c r="G39">
        <f>IF(A6&gt;0,1,0)</f>
        <v>0</v>
      </c>
      <c r="H39">
        <f>A6-G39</f>
        <v>0</v>
      </c>
      <c r="I39">
        <f>IF(AND(A6=0,B6&gt;0),1,0)</f>
        <v>1</v>
      </c>
      <c r="J39">
        <f>B6-I39</f>
        <v>0</v>
      </c>
      <c r="K39">
        <f>IF(AND(C6+D6&gt;0,A6+B6=0),1,0)</f>
        <v>0</v>
      </c>
      <c r="M39">
        <f>IF(A6&gt;0,1,0)</f>
        <v>0</v>
      </c>
      <c r="N39">
        <f>IF(B6&gt;0,1,0)</f>
        <v>1</v>
      </c>
      <c r="O39">
        <f>IF(C6&gt;0,1,0)</f>
        <v>1</v>
      </c>
      <c r="P39">
        <f>IF(A6+B6&gt;0,1,0)</f>
        <v>1</v>
      </c>
      <c r="Q39">
        <f>IF(A6+B6+C6&gt;0,1,0)</f>
        <v>1</v>
      </c>
      <c r="T39">
        <f>P39</f>
        <v>1</v>
      </c>
      <c r="U39">
        <f>Q39</f>
        <v>1</v>
      </c>
      <c r="V39">
        <f>IF(B6+C6&gt;0,1,0)</f>
        <v>1</v>
      </c>
      <c r="W39">
        <f>IF(A6+B6&gt;1,1,0)</f>
        <v>0</v>
      </c>
      <c r="X39">
        <f>IF(A6+B6+D6&gt;0,1,0)</f>
        <v>1</v>
      </c>
      <c r="Y39">
        <f>O39</f>
        <v>1</v>
      </c>
      <c r="Z39">
        <f>IF(D6&gt;0,1,0)</f>
        <v>1</v>
      </c>
      <c r="AA39">
        <f>IF(D6&gt;1,1,0)</f>
        <v>0</v>
      </c>
      <c r="AB39">
        <f>IF(AU38=1,1,0)</f>
        <v>0</v>
      </c>
      <c r="AC39">
        <f>AB39</f>
        <v>0</v>
      </c>
      <c r="AD39">
        <f>IF(AU39=1,1,0)</f>
        <v>1</v>
      </c>
      <c r="AE39">
        <f>AD39</f>
        <v>1</v>
      </c>
      <c r="AF39">
        <f>IF(SUM('c+3'!F9:H9)=1,1,0)</f>
        <v>0</v>
      </c>
      <c r="AG39">
        <f>IF(AND(E6&gt;0,AF39=0),1,0)</f>
        <v>1</v>
      </c>
      <c r="AH39">
        <f>A6</f>
        <v>0</v>
      </c>
      <c r="AI39">
        <f>B6</f>
        <v>1</v>
      </c>
      <c r="AJ39">
        <f>C6</f>
        <v>1</v>
      </c>
      <c r="AK39">
        <f>D6</f>
        <v>1</v>
      </c>
      <c r="AM39">
        <f>IF(AND(OR(E6=1,E6=2),C6+D6&gt;0),1,0)</f>
        <v>0</v>
      </c>
      <c r="AN39">
        <f>IF(AND(OR(E6=1,E6=2),C6+D6=0),1,0)</f>
        <v>0</v>
      </c>
      <c r="AO39">
        <f>IF(AND(E6&gt;2,C6+D6&gt;0),1,0)</f>
        <v>1</v>
      </c>
      <c r="AP39">
        <f>IF(AND(E6&gt;2,C6+D6=0),1,0)</f>
        <v>0</v>
      </c>
      <c r="AT39" t="s">
        <v>143</v>
      </c>
      <c r="AU39">
        <f>IF(OR(L9=1,AND(K9=1,D6&gt;0)),1,0)</f>
        <v>1</v>
      </c>
    </row>
    <row r="40" spans="1:47" x14ac:dyDescent="0.25">
      <c r="D40" s="1" t="s">
        <v>153</v>
      </c>
      <c r="E40">
        <f>'2023 components'!R16</f>
        <v>97.808191506804391</v>
      </c>
      <c r="F40">
        <f>'2023 components'!S16</f>
        <v>97.808191506804391</v>
      </c>
      <c r="G40">
        <f>'2023 components'!T16</f>
        <v>286.44531759360001</v>
      </c>
      <c r="H40">
        <f>'2023 components'!U16</f>
        <v>286.44531759360001</v>
      </c>
      <c r="I40">
        <f>'2023 components'!V16</f>
        <v>149.5269997794</v>
      </c>
      <c r="J40">
        <f>'2023 components'!W16</f>
        <v>149.5269997794</v>
      </c>
      <c r="K40">
        <f>'2023 components'!X12</f>
        <v>0</v>
      </c>
      <c r="M40">
        <f>'2023 components'!Z14</f>
        <v>0.37155333390804135</v>
      </c>
      <c r="N40">
        <f>'2023 components'!AA14</f>
        <v>0.20981061908861412</v>
      </c>
      <c r="O40">
        <f>'2023 components'!AB14</f>
        <v>2.765499223273549E-2</v>
      </c>
      <c r="P40">
        <f>'2023 components'!AC14</f>
        <v>0.45757058606196299</v>
      </c>
      <c r="Q40">
        <f>'2023 components'!AD14</f>
        <v>0</v>
      </c>
      <c r="T40">
        <f>'2023 components'!AG17</f>
        <v>0.4427448878615744</v>
      </c>
      <c r="U40">
        <f>'2023 components'!AH17</f>
        <v>2.2037157368483872E-3</v>
      </c>
      <c r="V40">
        <f>'2023 components'!AI17</f>
        <v>4.1756156794292863E-2</v>
      </c>
      <c r="W40">
        <f>'2023 components'!AJ17</f>
        <v>1.0010745187572745</v>
      </c>
      <c r="X40">
        <f>'2023 components'!AK21</f>
        <v>1.7708063721874043</v>
      </c>
      <c r="Y40">
        <f>'2023 components'!AL21</f>
        <v>0</v>
      </c>
      <c r="Z40">
        <f>'2023 components'!AM21</f>
        <v>0</v>
      </c>
      <c r="AA40">
        <f>'2023 components'!AN21</f>
        <v>0</v>
      </c>
      <c r="AB40">
        <f>'2023 components'!AO18</f>
        <v>47.585682423790196</v>
      </c>
      <c r="AC40">
        <f>'2023 components'!AP18</f>
        <v>0.15373698674784678</v>
      </c>
      <c r="AD40">
        <f>'2023 components'!AQ18</f>
        <v>40.949750209232455</v>
      </c>
      <c r="AE40">
        <f>'2023 components'!AR18</f>
        <v>0.28419018572091292</v>
      </c>
      <c r="AF40">
        <f>'2023 components'!AS18</f>
        <v>157.17560741575514</v>
      </c>
      <c r="AG40">
        <f>'2023 components'!AT18</f>
        <v>161.25115699804385</v>
      </c>
      <c r="AH40">
        <f>'2023 components'!AU18</f>
        <v>20.911062685354459</v>
      </c>
      <c r="AI40">
        <f>'2023 components'!AV18</f>
        <v>22.813034342203263</v>
      </c>
      <c r="AJ40">
        <f>'2023 components'!AW18</f>
        <v>34.309868603155259</v>
      </c>
      <c r="AK40">
        <f>'2023 components'!AX18</f>
        <v>14.47198545602275</v>
      </c>
      <c r="AM40">
        <f>'2023 components'!AZ21</f>
        <v>20.245142765795233</v>
      </c>
      <c r="AN40">
        <f>'2023 components'!BA21</f>
        <v>8.1296785617668021</v>
      </c>
      <c r="AO40">
        <f>'2023 components'!BB21</f>
        <v>24.321346007230513</v>
      </c>
      <c r="AP40">
        <f>'2023 components'!BC21</f>
        <v>10.284878384692947</v>
      </c>
    </row>
    <row r="41" spans="1:47" x14ac:dyDescent="0.25">
      <c r="D41" s="1" t="s">
        <v>159</v>
      </c>
      <c r="E41" s="1">
        <f>E39*E40</f>
        <v>0</v>
      </c>
      <c r="F41" s="1">
        <f t="shared" ref="F41:AP41" si="2">F39*F40</f>
        <v>97.808191506804391</v>
      </c>
      <c r="G41" s="1">
        <f t="shared" si="2"/>
        <v>0</v>
      </c>
      <c r="H41" s="1">
        <f t="shared" si="2"/>
        <v>0</v>
      </c>
      <c r="I41" s="1">
        <f t="shared" si="2"/>
        <v>149.5269997794</v>
      </c>
      <c r="J41" s="1">
        <f t="shared" si="2"/>
        <v>0</v>
      </c>
      <c r="K41" s="1">
        <f t="shared" si="2"/>
        <v>0</v>
      </c>
      <c r="L41" s="1">
        <f t="shared" si="2"/>
        <v>0</v>
      </c>
      <c r="M41" s="1">
        <f t="shared" si="2"/>
        <v>0</v>
      </c>
      <c r="N41" s="1">
        <f t="shared" si="2"/>
        <v>0.20981061908861412</v>
      </c>
      <c r="O41" s="1">
        <f t="shared" si="2"/>
        <v>2.765499223273549E-2</v>
      </c>
      <c r="P41" s="1">
        <f t="shared" si="2"/>
        <v>0.45757058606196299</v>
      </c>
      <c r="Q41" s="1">
        <f t="shared" si="2"/>
        <v>0</v>
      </c>
      <c r="R41" s="1">
        <f t="shared" si="2"/>
        <v>0</v>
      </c>
      <c r="S41" s="1">
        <f t="shared" si="2"/>
        <v>0</v>
      </c>
      <c r="T41" s="1">
        <f t="shared" si="2"/>
        <v>0.4427448878615744</v>
      </c>
      <c r="U41" s="1">
        <f t="shared" si="2"/>
        <v>2.2037157368483872E-3</v>
      </c>
      <c r="V41" s="1">
        <f t="shared" si="2"/>
        <v>4.1756156794292863E-2</v>
      </c>
      <c r="W41" s="1">
        <f t="shared" si="2"/>
        <v>0</v>
      </c>
      <c r="X41" s="1">
        <f t="shared" si="2"/>
        <v>1.7708063721874043</v>
      </c>
      <c r="Y41" s="1">
        <f t="shared" si="2"/>
        <v>0</v>
      </c>
      <c r="Z41" s="1">
        <f t="shared" si="2"/>
        <v>0</v>
      </c>
      <c r="AA41" s="1">
        <f t="shared" si="2"/>
        <v>0</v>
      </c>
      <c r="AB41" s="1">
        <f t="shared" si="2"/>
        <v>0</v>
      </c>
      <c r="AC41" s="1">
        <f t="shared" si="2"/>
        <v>0</v>
      </c>
      <c r="AD41" s="1">
        <f t="shared" si="2"/>
        <v>40.949750209232455</v>
      </c>
      <c r="AE41" s="1">
        <f t="shared" si="2"/>
        <v>0.28419018572091292</v>
      </c>
      <c r="AF41" s="1">
        <f t="shared" si="2"/>
        <v>0</v>
      </c>
      <c r="AG41" s="1">
        <f t="shared" si="2"/>
        <v>161.25115699804385</v>
      </c>
      <c r="AH41" s="1">
        <f t="shared" si="2"/>
        <v>0</v>
      </c>
      <c r="AI41" s="1">
        <f t="shared" si="2"/>
        <v>22.813034342203263</v>
      </c>
      <c r="AJ41" s="1">
        <f t="shared" si="2"/>
        <v>34.309868603155259</v>
      </c>
      <c r="AK41" s="1">
        <f t="shared" si="2"/>
        <v>14.47198545602275</v>
      </c>
      <c r="AL41" s="1">
        <f t="shared" si="2"/>
        <v>0</v>
      </c>
      <c r="AM41" s="1">
        <f t="shared" si="2"/>
        <v>0</v>
      </c>
      <c r="AN41" s="1">
        <f t="shared" si="2"/>
        <v>0</v>
      </c>
      <c r="AO41" s="1">
        <f t="shared" si="2"/>
        <v>24.321346007230513</v>
      </c>
      <c r="AP41" s="1">
        <f t="shared" si="2"/>
        <v>0</v>
      </c>
    </row>
    <row r="42" spans="1:47" x14ac:dyDescent="0.25">
      <c r="D42" s="1" t="s">
        <v>87</v>
      </c>
      <c r="E42" t="s">
        <v>76</v>
      </c>
      <c r="F42" t="s">
        <v>76</v>
      </c>
      <c r="G42" t="s">
        <v>76</v>
      </c>
      <c r="H42" t="s">
        <v>76</v>
      </c>
      <c r="I42" t="s">
        <v>76</v>
      </c>
      <c r="J42" t="s">
        <v>76</v>
      </c>
      <c r="K42" t="s">
        <v>72</v>
      </c>
      <c r="M42" t="s">
        <v>7</v>
      </c>
      <c r="N42" t="s">
        <v>7</v>
      </c>
      <c r="O42" t="s">
        <v>7</v>
      </c>
      <c r="P42" t="s">
        <v>7</v>
      </c>
      <c r="Q42" t="s">
        <v>7</v>
      </c>
      <c r="T42" t="s">
        <v>154</v>
      </c>
      <c r="U42" t="s">
        <v>154</v>
      </c>
      <c r="V42" t="s">
        <v>154</v>
      </c>
      <c r="W42" t="s">
        <v>154</v>
      </c>
      <c r="X42" t="s">
        <v>155</v>
      </c>
      <c r="Y42" t="s">
        <v>155</v>
      </c>
      <c r="Z42" t="s">
        <v>155</v>
      </c>
      <c r="AA42" t="s">
        <v>155</v>
      </c>
      <c r="AB42" t="s">
        <v>10</v>
      </c>
      <c r="AC42" t="s">
        <v>10</v>
      </c>
      <c r="AD42" t="s">
        <v>10</v>
      </c>
      <c r="AE42" t="s">
        <v>10</v>
      </c>
      <c r="AF42" t="s">
        <v>10</v>
      </c>
      <c r="AG42" t="s">
        <v>10</v>
      </c>
      <c r="AH42" t="s">
        <v>10</v>
      </c>
      <c r="AI42" t="s">
        <v>10</v>
      </c>
      <c r="AJ42" t="s">
        <v>10</v>
      </c>
      <c r="AK42" t="s">
        <v>10</v>
      </c>
      <c r="AM42" t="s">
        <v>155</v>
      </c>
      <c r="AN42" t="s">
        <v>155</v>
      </c>
      <c r="AO42" t="s">
        <v>155</v>
      </c>
      <c r="AP42" t="s">
        <v>155</v>
      </c>
    </row>
    <row r="44" spans="1:47" x14ac:dyDescent="0.25">
      <c r="AC44" t="s">
        <v>156</v>
      </c>
    </row>
    <row r="45" spans="1:47" x14ac:dyDescent="0.25">
      <c r="AC45" t="s">
        <v>157</v>
      </c>
      <c r="AD45">
        <f>AB41+AD41</f>
        <v>40.949750209232455</v>
      </c>
    </row>
    <row r="46" spans="1:47" x14ac:dyDescent="0.25">
      <c r="AC46" t="s">
        <v>11</v>
      </c>
      <c r="AD46">
        <f>SUM(AF41:AK41)</f>
        <v>232.84604539942512</v>
      </c>
    </row>
    <row r="47" spans="1:47" x14ac:dyDescent="0.25">
      <c r="AC47" t="s">
        <v>158</v>
      </c>
      <c r="AD47">
        <f>SUM(AC41,AE41)*AD46</f>
        <v>66.172560886442753</v>
      </c>
    </row>
    <row r="48" spans="1:47" x14ac:dyDescent="0.25">
      <c r="AC48" t="s">
        <v>146</v>
      </c>
      <c r="AD48">
        <f>AD45+AD47</f>
        <v>107.1223110956752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0197C-B280-42C3-839E-B8D00960CF05}">
  <dimension ref="A1:AU48"/>
  <sheetViews>
    <sheetView topLeftCell="A10" zoomScaleNormal="100" workbookViewId="0">
      <pane xSplit="1" topLeftCell="B1" activePane="topRight" state="frozen"/>
      <selection activeCell="B2" sqref="B2:L24"/>
      <selection pane="topRight" activeCell="B2" sqref="B2:L24"/>
    </sheetView>
  </sheetViews>
  <sheetFormatPr defaultColWidth="8.85546875" defaultRowHeight="15" x14ac:dyDescent="0.25"/>
  <cols>
    <col min="1" max="1" width="15.42578125" customWidth="1"/>
    <col min="2" max="2" width="14" customWidth="1"/>
    <col min="4" max="4" width="11.85546875" customWidth="1"/>
    <col min="5" max="5" width="11" customWidth="1"/>
    <col min="35" max="35" width="11" customWidth="1"/>
    <col min="36" max="36" width="11.42578125" customWidth="1"/>
    <col min="37" max="37" width="14.140625" customWidth="1"/>
  </cols>
  <sheetData>
    <row r="1" spans="1:12" x14ac:dyDescent="0.25">
      <c r="A1" s="1" t="s">
        <v>141</v>
      </c>
    </row>
    <row r="2" spans="1:12" x14ac:dyDescent="0.25">
      <c r="A2" t="s">
        <v>88</v>
      </c>
      <c r="B2">
        <v>2</v>
      </c>
    </row>
    <row r="3" spans="1:12" x14ac:dyDescent="0.25">
      <c r="A3" t="s">
        <v>89</v>
      </c>
      <c r="B3">
        <v>0</v>
      </c>
    </row>
    <row r="5" spans="1:12" x14ac:dyDescent="0.25">
      <c r="A5" t="s">
        <v>55</v>
      </c>
      <c r="B5" t="s">
        <v>56</v>
      </c>
      <c r="C5" t="s">
        <v>57</v>
      </c>
      <c r="D5" t="s">
        <v>58</v>
      </c>
      <c r="E5" t="s">
        <v>90</v>
      </c>
    </row>
    <row r="6" spans="1:12" x14ac:dyDescent="0.25">
      <c r="A6">
        <v>1</v>
      </c>
      <c r="B6">
        <v>1</v>
      </c>
      <c r="C6">
        <v>1</v>
      </c>
      <c r="D6">
        <v>1</v>
      </c>
      <c r="E6">
        <f>SUM(A6:D6)</f>
        <v>4</v>
      </c>
    </row>
    <row r="8" spans="1:12" x14ac:dyDescent="0.25">
      <c r="A8" s="1" t="s">
        <v>87</v>
      </c>
      <c r="B8" t="s">
        <v>0</v>
      </c>
      <c r="C8" t="s">
        <v>1</v>
      </c>
      <c r="D8" t="s">
        <v>2</v>
      </c>
      <c r="E8" t="s">
        <v>3</v>
      </c>
      <c r="F8" t="s">
        <v>91</v>
      </c>
      <c r="G8" t="s">
        <v>92</v>
      </c>
      <c r="H8" t="s">
        <v>93</v>
      </c>
      <c r="I8" t="s">
        <v>94</v>
      </c>
      <c r="J8" t="s">
        <v>95</v>
      </c>
      <c r="K8" t="s">
        <v>96</v>
      </c>
      <c r="L8" t="s">
        <v>97</v>
      </c>
    </row>
    <row r="9" spans="1:12" x14ac:dyDescent="0.25">
      <c r="B9">
        <f>IF(AND(B2=1,E6=0),1,0)</f>
        <v>0</v>
      </c>
      <c r="C9">
        <f>IF(AND(B2=2,E6=0),1,0)</f>
        <v>0</v>
      </c>
      <c r="D9">
        <f>IF(AND(B3=1,E6=0),1,0)</f>
        <v>0</v>
      </c>
      <c r="E9">
        <f>IF(AND(B3=2,E6=0),1,0)</f>
        <v>0</v>
      </c>
      <c r="F9">
        <f>IF(AND(B2=1,E6=1),1,0)</f>
        <v>0</v>
      </c>
      <c r="G9">
        <f>IF(AND(B2=1,E6=2),1,0)</f>
        <v>0</v>
      </c>
      <c r="H9">
        <f>IF(AND(B2=1,E6=3),1,0)</f>
        <v>0</v>
      </c>
      <c r="I9">
        <f>IF(AND(B2=2,E6=1),1,0)</f>
        <v>0</v>
      </c>
      <c r="J9">
        <f>IF(AND(B2=2,E6=2),1,0)</f>
        <v>0</v>
      </c>
      <c r="K9">
        <f>IF(AND(B2=2,E6=3),1,0)</f>
        <v>0</v>
      </c>
      <c r="L9">
        <f>IF(AND(B2=2,E6=4),1,0)</f>
        <v>1</v>
      </c>
    </row>
    <row r="11" spans="1:12" x14ac:dyDescent="0.25">
      <c r="A11" s="1"/>
      <c r="B11" s="1" t="s">
        <v>146</v>
      </c>
      <c r="C11" s="10" t="s">
        <v>147</v>
      </c>
      <c r="D11" s="10" t="s">
        <v>148</v>
      </c>
      <c r="E11" s="10" t="s">
        <v>98</v>
      </c>
    </row>
    <row r="12" spans="1:12" x14ac:dyDescent="0.25">
      <c r="A12" s="9" t="s">
        <v>64</v>
      </c>
      <c r="C12" s="10"/>
      <c r="D12" s="10"/>
      <c r="E12" s="10"/>
    </row>
    <row r="13" spans="1:12" x14ac:dyDescent="0.25">
      <c r="A13" s="8" t="s">
        <v>65</v>
      </c>
      <c r="B13">
        <f>C13+D13+E13</f>
        <v>203.23137817363477</v>
      </c>
      <c r="C13" s="10">
        <f>SUM(B$9*'2023 components'!C5,C$9*'2023 components'!D5,D$9*'2023 components'!E5,E$9*'2023 components'!F5,F$9*'2023 components'!G5,G$9*'2023 components'!H5,H$9*'2023 components'!I5,I$9*'2023 components'!J5,J$9*'2023 components'!K5,K$9*'2023 components'!L5,L$9*'2023 components'!M5)</f>
        <v>88.029931045316005</v>
      </c>
      <c r="D13" s="10">
        <f>SUM(A$6*'2023 components'!N5,B$6*'2023 components'!O5,C$6*'2023 components'!P5,D$6*'2023 components'!Q5)</f>
        <v>115.20144712831878</v>
      </c>
      <c r="E13" s="10"/>
    </row>
    <row r="14" spans="1:12" x14ac:dyDescent="0.25">
      <c r="A14" s="8" t="s">
        <v>66</v>
      </c>
      <c r="B14">
        <f t="shared" ref="B14:B29" si="0">C14+D14+E14</f>
        <v>11.411996649459066</v>
      </c>
      <c r="C14" s="10">
        <f>SUM(B$9*'2023 components'!C6,C$9*'2023 components'!D6,D$9*'2023 components'!E6,E$9*'2023 components'!F6,F$9*'2023 components'!G6,G$9*'2023 components'!H6,H$9*'2023 components'!I6,I$9*'2023 components'!J6,J$9*'2023 components'!K6,K$9*'2023 components'!L6,L$9*'2023 components'!M6)</f>
        <v>11.411996649459066</v>
      </c>
      <c r="D14" s="10">
        <f>SUM(A$6*'2023 components'!N6,B$6*'2023 components'!O6,C$6*'2023 components'!P6,D$6*'2023 components'!Q6)</f>
        <v>0</v>
      </c>
      <c r="E14" s="10"/>
    </row>
    <row r="15" spans="1:12" x14ac:dyDescent="0.25">
      <c r="A15" s="8" t="s">
        <v>67</v>
      </c>
      <c r="B15">
        <f t="shared" si="0"/>
        <v>0</v>
      </c>
      <c r="C15" s="10">
        <f>SUM(B$9*'2023 components'!C7,C$9*'2023 components'!D7,D$9*'2023 components'!E7,E$9*'2023 components'!F7,F$9*'2023 components'!G7,G$9*'2023 components'!H7,H$9*'2023 components'!I7,I$9*'2023 components'!J7,J$9*'2023 components'!K7,K$9*'2023 components'!L7,L$9*'2023 components'!M7)</f>
        <v>0</v>
      </c>
      <c r="D15" s="10">
        <f>SUM(A$6*'2023 components'!N7,B$6*'2023 components'!O7,C$6*'2023 components'!P7,D$6*'2023 components'!Q7)</f>
        <v>0</v>
      </c>
      <c r="E15" s="10"/>
    </row>
    <row r="16" spans="1:12" x14ac:dyDescent="0.25">
      <c r="A16" s="8" t="s">
        <v>68</v>
      </c>
      <c r="B16">
        <f t="shared" si="0"/>
        <v>82.363418399715158</v>
      </c>
      <c r="C16" s="10">
        <f>SUM(B$9*'2023 components'!C8,C$9*'2023 components'!D8,D$9*'2023 components'!E8,E$9*'2023 components'!F8,F$9*'2023 components'!G8,G$9*'2023 components'!H8,H$9*'2023 components'!I8,I$9*'2023 components'!J8,J$9*'2023 components'!K8,K$9*'2023 components'!L8,L$9*'2023 components'!M8)</f>
        <v>27.363729007119129</v>
      </c>
      <c r="D16" s="10">
        <f>SUM(A$6*'2023 components'!N8,B$6*'2023 components'!O8,C$6*'2023 components'!P8,D$6*'2023 components'!Q8)</f>
        <v>54.999689392596032</v>
      </c>
      <c r="E16" s="10"/>
    </row>
    <row r="17" spans="1:11" x14ac:dyDescent="0.25">
      <c r="A17" s="8" t="s">
        <v>69</v>
      </c>
      <c r="B17">
        <f t="shared" si="0"/>
        <v>12.54056925996205</v>
      </c>
      <c r="C17" s="10">
        <f>SUM(B$9*'2023 components'!C9,C$9*'2023 components'!D9,D$9*'2023 components'!E9,E$9*'2023 components'!F9,F$9*'2023 components'!G9,G$9*'2023 components'!H9,H$9*'2023 components'!I9,I$9*'2023 components'!J9,J$9*'2023 components'!K9,K$9*'2023 components'!L9,L$9*'2023 components'!M9)</f>
        <v>12.54056925996205</v>
      </c>
      <c r="D17" s="10">
        <f>SUM(A$6*'2023 components'!N9,B$6*'2023 components'!O9,C$6*'2023 components'!P9,D$6*'2023 components'!Q9)</f>
        <v>0</v>
      </c>
      <c r="E17" s="10"/>
    </row>
    <row r="18" spans="1:11" x14ac:dyDescent="0.25">
      <c r="A18" s="8" t="s">
        <v>70</v>
      </c>
      <c r="B18">
        <f t="shared" si="0"/>
        <v>32.174177777777778</v>
      </c>
      <c r="C18" s="10">
        <f>SUM(B$9*'2023 components'!C10,C$9*'2023 components'!D10,D$9*'2023 components'!E10,E$9*'2023 components'!F10,F$9*'2023 components'!G10,G$9*'2023 components'!H10,H$9*'2023 components'!I10,I$9*'2023 components'!J10,J$9*'2023 components'!K10,K$9*'2023 components'!L10,L$9*'2023 components'!M10)</f>
        <v>32.174177777777778</v>
      </c>
      <c r="D18" s="10">
        <f>SUM(A$6*'2023 components'!N10,B$6*'2023 components'!O10,C$6*'2023 components'!P10,D$6*'2023 components'!Q10)</f>
        <v>0</v>
      </c>
      <c r="E18" s="10"/>
    </row>
    <row r="19" spans="1:11" x14ac:dyDescent="0.25">
      <c r="A19" s="8" t="s">
        <v>71</v>
      </c>
      <c r="B19">
        <f t="shared" si="0"/>
        <v>1.9295773058608476</v>
      </c>
      <c r="C19" s="10">
        <f>SUM(B$9*'2023 components'!C11,C$9*'2023 components'!D11,D$9*'2023 components'!E11,E$9*'2023 components'!F11,F$9*'2023 components'!G11,G$9*'2023 components'!H11,H$9*'2023 components'!I11,I$9*'2023 components'!J11,J$9*'2023 components'!K11,K$9*'2023 components'!L11,L$9*'2023 components'!M11)</f>
        <v>1.9295773058608476</v>
      </c>
      <c r="D19" s="10">
        <f>SUM(A$6*'2023 components'!N11,B$6*'2023 components'!O11,C$6*'2023 components'!P11,D$6*'2023 components'!Q11)</f>
        <v>0</v>
      </c>
      <c r="E19" s="10"/>
    </row>
    <row r="20" spans="1:11" x14ac:dyDescent="0.25">
      <c r="A20" s="8" t="s">
        <v>72</v>
      </c>
      <c r="B20">
        <f t="shared" si="0"/>
        <v>68.025327990410972</v>
      </c>
      <c r="C20" s="10">
        <f>SUM(B$9*'2023 components'!C12,C$9*'2023 components'!D12,D$9*'2023 components'!E12,E$9*'2023 components'!F12,F$9*'2023 components'!G12,G$9*'2023 components'!H12,H$9*'2023 components'!I12,I$9*'2023 components'!J12,J$9*'2023 components'!K12,K$9*'2023 components'!L12,L$9*'2023 components'!M12)</f>
        <v>68.025327990410972</v>
      </c>
      <c r="D20" s="10">
        <f>SUM(A$6*'2023 components'!N12,B$6*'2023 components'!O12,C$6*'2023 components'!P12,D$6*'2023 components'!Q12)</f>
        <v>0</v>
      </c>
      <c r="E20" s="10">
        <f>K41</f>
        <v>0</v>
      </c>
    </row>
    <row r="21" spans="1:11" x14ac:dyDescent="0.25">
      <c r="A21" s="8" t="s">
        <v>73</v>
      </c>
      <c r="B21">
        <f t="shared" si="0"/>
        <v>2.1941982272361029</v>
      </c>
      <c r="C21" s="10">
        <f>SUM(B$9*'2023 components'!C13,C$9*'2023 components'!D13,D$9*'2023 components'!E13,E$9*'2023 components'!F13,F$9*'2023 components'!G13,G$9*'2023 components'!H13,H$9*'2023 components'!I13,I$9*'2023 components'!J13,J$9*'2023 components'!K13,K$9*'2023 components'!L13,L$9*'2023 components'!M13)</f>
        <v>2.1941982272361029</v>
      </c>
      <c r="D21" s="10">
        <f>SUM(A$6*'2023 components'!N13,B$6*'2023 components'!O13,C$6*'2023 components'!P13,D$6*'2023 components'!Q13)</f>
        <v>0</v>
      </c>
      <c r="E21" s="10"/>
    </row>
    <row r="22" spans="1:11" x14ac:dyDescent="0.25">
      <c r="A22" s="8" t="s">
        <v>74</v>
      </c>
      <c r="B22">
        <f t="shared" si="0"/>
        <v>43.659079851626544</v>
      </c>
      <c r="C22" s="10">
        <f>SUM(B$9*'2023 components'!C14,C$9*'2023 components'!D14,D$9*'2023 components'!E14,E$9*'2023 components'!F14,F$9*'2023 components'!G14,G$9*'2023 components'!H14,H$9*'2023 components'!I14,I$9*'2023 components'!J14,J$9*'2023 components'!K14,K$9*'2023 components'!L14,L$9*'2023 components'!M14)</f>
        <v>29.076717413666184</v>
      </c>
      <c r="D22" s="10">
        <f>SUM(A$6*'2023 components'!N14,B$6*'2023 components'!O14,C$6*'2023 components'!P14,D$6*'2023 components'!Q14)</f>
        <v>13.515772906669007</v>
      </c>
      <c r="E22" s="10">
        <f>SUM(M41:Q41)</f>
        <v>1.066589531291354</v>
      </c>
    </row>
    <row r="23" spans="1:11" x14ac:dyDescent="0.25">
      <c r="A23" s="8" t="s">
        <v>75</v>
      </c>
      <c r="B23">
        <f t="shared" si="0"/>
        <v>14.953520348344085</v>
      </c>
      <c r="C23" s="10">
        <f>SUM(B$9*'2023 components'!C15,C$9*'2023 components'!D15,D$9*'2023 components'!E15,E$9*'2023 components'!F15,F$9*'2023 components'!G15,G$9*'2023 components'!H15,H$9*'2023 components'!I15,I$9*'2023 components'!J15,J$9*'2023 components'!K15,K$9*'2023 components'!L15,L$9*'2023 components'!M15)</f>
        <v>11.965218785372629</v>
      </c>
      <c r="D23" s="10">
        <f>SUM(A$6*'2023 components'!N15,B$6*'2023 components'!O15,C$6*'2023 components'!P15,D$6*'2023 components'!Q15)</f>
        <v>2.9883015629714564</v>
      </c>
      <c r="E23" s="10"/>
    </row>
    <row r="24" spans="1:11" x14ac:dyDescent="0.25">
      <c r="A24" s="8" t="s">
        <v>76</v>
      </c>
      <c r="B24">
        <f t="shared" si="0"/>
        <v>533.78050887980442</v>
      </c>
      <c r="C24" s="10">
        <f>SUM(B$9*'2023 components'!C16,C$9*'2023 components'!D16,D$9*'2023 components'!E16,E$9*'2023 components'!F16,F$9*'2023 components'!G16,G$9*'2023 components'!H16,H$9*'2023 components'!I16,I$9*'2023 components'!J16,J$9*'2023 components'!K16,K$9*'2023 components'!L16,L$9*'2023 components'!M16)</f>
        <v>0</v>
      </c>
      <c r="D24" s="10">
        <f>SUM(A$6*'2023 components'!N16,B$6*'2023 components'!O16,C$6*'2023 components'!P16,D$6*'2023 components'!Q16)</f>
        <v>0</v>
      </c>
      <c r="E24" s="10">
        <f>SUM(E41:J41)</f>
        <v>533.78050887980442</v>
      </c>
    </row>
    <row r="25" spans="1:11" x14ac:dyDescent="0.25">
      <c r="A25" s="8" t="s">
        <v>77</v>
      </c>
      <c r="B25">
        <f t="shared" si="0"/>
        <v>83.886929162068313</v>
      </c>
      <c r="C25" s="10">
        <f>SUM(B$9*'2023 components'!C17,C$9*'2023 components'!D17,D$9*'2023 components'!E17,E$9*'2023 components'!F17,F$9*'2023 components'!G17,G$9*'2023 components'!H17,H$9*'2023 components'!I17,I$9*'2023 components'!J17,J$9*'2023 components'!K17,K$9*'2023 components'!L17,L$9*'2023 components'!M17)</f>
        <v>38.117614312898915</v>
      </c>
      <c r="D25" s="10">
        <f>SUM(A$6*'2023 components'!N17,B$6*'2023 components'!O17,C$6*'2023 components'!P17,D$6*'2023 components'!Q17)</f>
        <v>44.2815355700194</v>
      </c>
      <c r="E25" s="10">
        <f>SUM(T41:W41)</f>
        <v>1.4877792791499902</v>
      </c>
    </row>
    <row r="26" spans="1:11" x14ac:dyDescent="0.25">
      <c r="A26" s="8" t="s">
        <v>10</v>
      </c>
      <c r="B26">
        <f t="shared" si="0"/>
        <v>113.06502988384773</v>
      </c>
      <c r="C26" s="10">
        <f>SUM(B$9*'2023 components'!C18,C$9*'2023 components'!D18,D$9*'2023 components'!E18,E$9*'2023 components'!F18,F$9*'2023 components'!G18,G$9*'2023 components'!H18,H$9*'2023 components'!I18,I$9*'2023 components'!J18,J$9*'2023 components'!K18,K$9*'2023 components'!L18,L$9*'2023 components'!M18)</f>
        <v>0</v>
      </c>
      <c r="D26" s="10">
        <f>SUM(A$6*'2023 components'!N18,B$6*'2023 components'!O18,C$6*'2023 components'!P18,D$6*'2023 components'!Q18)</f>
        <v>0</v>
      </c>
      <c r="E26" s="10">
        <f>AD48</f>
        <v>113.06502988384773</v>
      </c>
    </row>
    <row r="27" spans="1:11" x14ac:dyDescent="0.25">
      <c r="A27" s="8" t="s">
        <v>78</v>
      </c>
      <c r="B27">
        <f t="shared" si="0"/>
        <v>57.824861176392147</v>
      </c>
      <c r="C27">
        <f>I27+I28</f>
        <v>44.967657014993087</v>
      </c>
      <c r="D27">
        <f t="shared" ref="D27:E27" si="1">J27+J28</f>
        <v>12.857204161399059</v>
      </c>
      <c r="E27">
        <f t="shared" si="1"/>
        <v>0</v>
      </c>
      <c r="G27" t="s">
        <v>169</v>
      </c>
      <c r="H27">
        <f>I27+J27+K27</f>
        <v>39.719002816707835</v>
      </c>
      <c r="I27" s="10">
        <f>SUM(B$9*'2023 components'!C19,C$9*'2023 components'!D19,D$9*'2023 components'!E19,E$9*'2023 components'!F19,F$9*'2023 components'!G19,G$9*'2023 components'!H19,H$9*'2023 components'!I19,I$9*'2023 components'!J19,J$9*'2023 components'!K19,K$9*'2023 components'!L19,L$9*'2023 components'!M19)</f>
        <v>28.501833740831302</v>
      </c>
      <c r="J27" s="10">
        <f>SUM(A$6*'2023 components'!N19,B$6*'2023 components'!O19,C$6*'2023 components'!P19,D$6*'2023 components'!Q19)</f>
        <v>11.217169075876532</v>
      </c>
      <c r="K27" s="10"/>
    </row>
    <row r="28" spans="1:11" x14ac:dyDescent="0.25">
      <c r="A28" s="8" t="s">
        <v>79</v>
      </c>
      <c r="B28">
        <f t="shared" si="0"/>
        <v>182.91354841644852</v>
      </c>
      <c r="C28" s="10">
        <f>SUM(B$9*'2023 components'!C21,C$9*'2023 components'!D21,D$9*'2023 components'!E21,E$9*'2023 components'!F21,F$9*'2023 components'!G21,G$9*'2023 components'!H21,H$9*'2023 components'!I21,I$9*'2023 components'!J21,J$9*'2023 components'!K21,K$9*'2023 components'!L21,L$9*'2023 components'!M21)</f>
        <v>49.992519752838454</v>
      </c>
      <c r="D28" s="10">
        <f>SUM(A$6*'2023 components'!N21,B$6*'2023 components'!O21,C$6*'2023 components'!P21,D$6*'2023 components'!Q21)</f>
        <v>106.82887628419215</v>
      </c>
      <c r="E28" s="10">
        <f>SUM(X41:AA41)+SUM(AM41:AP41)</f>
        <v>26.092152379417918</v>
      </c>
      <c r="G28" t="s">
        <v>170</v>
      </c>
      <c r="H28">
        <f>I28+J28+K28</f>
        <v>18.105858359684312</v>
      </c>
      <c r="I28" s="10">
        <f>SUM(B$9*'2023 components'!C20,C$9*'2023 components'!D20,D$9*'2023 components'!E20,E$9*'2023 components'!F20,F$9*'2023 components'!G20,G$9*'2023 components'!H20,H$9*'2023 components'!I20,I$9*'2023 components'!J20,J$9*'2023 components'!K20,K$9*'2023 components'!L20,L$9*'2023 components'!M20)</f>
        <v>16.465823274161785</v>
      </c>
      <c r="J28" s="10">
        <f>SUM(A$6*'2023 components'!N20,B$6*'2023 components'!O20,C$6*'2023 components'!P20,D$6*'2023 components'!Q20)</f>
        <v>1.640035085522527</v>
      </c>
      <c r="K28" s="10"/>
    </row>
    <row r="29" spans="1:11" x14ac:dyDescent="0.25">
      <c r="A29" s="8" t="s">
        <v>80</v>
      </c>
      <c r="B29">
        <f t="shared" si="0"/>
        <v>107.58054704143699</v>
      </c>
      <c r="C29" s="10">
        <f>SUM(B$9*'2023 components'!C22,C$9*'2023 components'!D22,D$9*'2023 components'!E22,E$9*'2023 components'!F22,F$9*'2023 components'!G22,G$9*'2023 components'!H22,H$9*'2023 components'!I22,I$9*'2023 components'!J22,J$9*'2023 components'!K22,K$9*'2023 components'!L22,L$9*'2023 components'!M22)</f>
        <v>107.58054704143699</v>
      </c>
      <c r="D29" s="10">
        <f>SUM(A$6*'2023 components'!N22,B$6*'2023 components'!O22,C$6*'2023 components'!P22,D$6*'2023 components'!Q22)</f>
        <v>0</v>
      </c>
      <c r="E29" s="10"/>
    </row>
    <row r="30" spans="1:11" x14ac:dyDescent="0.25">
      <c r="E30" s="10"/>
    </row>
    <row r="33" spans="1:47" x14ac:dyDescent="0.25">
      <c r="A33" s="11" t="s">
        <v>78</v>
      </c>
      <c r="B33" s="11" t="s">
        <v>149</v>
      </c>
      <c r="C33" s="11">
        <f>SUM(B$9*'2023 components'!C17,C$9*'2023 components'!D17,D$9*'2023 components'!E17,E$9*'2023 components'!F17,F$9*'2023 components'!G17,G$9*'2023 components'!H17,H$9*'2023 components'!I17,I$9*'2023 components'!J17,J$9*'2023 components'!K17,K$9*'2023 components'!L17,L$9*'2023 components'!M17)</f>
        <v>38.117614312898915</v>
      </c>
      <c r="D33" s="10">
        <f>SUM(A$6*'2023 components'!N17,B$6*'2023 components'!O17,C$6*'2023 components'!P17,D$6*'2023 components'!Q17)</f>
        <v>44.2815355700194</v>
      </c>
    </row>
    <row r="34" spans="1:47" x14ac:dyDescent="0.25">
      <c r="A34" s="11"/>
      <c r="B34" s="11" t="s">
        <v>150</v>
      </c>
      <c r="C34" s="11">
        <f>SUM(B$9*'2023 components'!C18,C$9*'2023 components'!D18,D$9*'2023 components'!E18,E$9*'2023 components'!F18,F$9*'2023 components'!G18,G$9*'2023 components'!H18,H$9*'2023 components'!I18,I$9*'2023 components'!J18,J$9*'2023 components'!K18,K$9*'2023 components'!L18,L$9*'2023 components'!M18)</f>
        <v>0</v>
      </c>
      <c r="D34" s="10">
        <f>SUM(A$6*'2023 components'!N18,B$6*'2023 components'!O18,C$6*'2023 components'!P18,D$6*'2023 components'!Q18)</f>
        <v>0</v>
      </c>
    </row>
    <row r="35" spans="1:47" x14ac:dyDescent="0.25">
      <c r="A35" s="11"/>
      <c r="B35" s="11" t="s">
        <v>151</v>
      </c>
      <c r="C35" s="11">
        <f>C33+C34</f>
        <v>38.117614312898915</v>
      </c>
      <c r="D35" s="11">
        <f>D33+D34</f>
        <v>44.2815355700194</v>
      </c>
    </row>
    <row r="37" spans="1:47" ht="45" x14ac:dyDescent="0.25">
      <c r="E37" t="s">
        <v>28</v>
      </c>
      <c r="F37" t="s">
        <v>29</v>
      </c>
      <c r="G37" t="s">
        <v>30</v>
      </c>
      <c r="H37" t="s">
        <v>31</v>
      </c>
      <c r="I37" t="s">
        <v>32</v>
      </c>
      <c r="J37" t="s">
        <v>33</v>
      </c>
      <c r="K37" t="s">
        <v>34</v>
      </c>
      <c r="L37" t="s">
        <v>35</v>
      </c>
      <c r="M37" t="s">
        <v>36</v>
      </c>
      <c r="N37" t="s">
        <v>37</v>
      </c>
      <c r="O37" t="s">
        <v>38</v>
      </c>
      <c r="P37" t="s">
        <v>39</v>
      </c>
      <c r="Q37" t="s">
        <v>40</v>
      </c>
      <c r="R37" t="s">
        <v>41</v>
      </c>
      <c r="S37" t="s">
        <v>42</v>
      </c>
      <c r="T37" t="s">
        <v>39</v>
      </c>
      <c r="U37" t="s">
        <v>40</v>
      </c>
      <c r="V37" t="s">
        <v>99</v>
      </c>
      <c r="W37" s="3" t="s">
        <v>44</v>
      </c>
      <c r="X37" t="s">
        <v>100</v>
      </c>
      <c r="Y37" t="s">
        <v>101</v>
      </c>
      <c r="Z37" t="s">
        <v>102</v>
      </c>
      <c r="AA37" t="s">
        <v>48</v>
      </c>
      <c r="AB37" t="s">
        <v>49</v>
      </c>
      <c r="AC37" t="s">
        <v>50</v>
      </c>
      <c r="AD37" t="s">
        <v>51</v>
      </c>
      <c r="AE37" t="s">
        <v>52</v>
      </c>
      <c r="AF37" t="s">
        <v>53</v>
      </c>
      <c r="AG37" t="s">
        <v>54</v>
      </c>
      <c r="AH37" t="s">
        <v>55</v>
      </c>
      <c r="AI37" t="s">
        <v>56</v>
      </c>
      <c r="AJ37" t="s">
        <v>57</v>
      </c>
      <c r="AK37" t="s">
        <v>58</v>
      </c>
      <c r="AL37" t="s">
        <v>145</v>
      </c>
      <c r="AM37" t="s">
        <v>60</v>
      </c>
      <c r="AN37" t="s">
        <v>61</v>
      </c>
      <c r="AO37" t="s">
        <v>62</v>
      </c>
      <c r="AP37" t="s">
        <v>63</v>
      </c>
      <c r="AT37" t="s">
        <v>144</v>
      </c>
    </row>
    <row r="38" spans="1:47" ht="45" x14ac:dyDescent="0.25">
      <c r="D38" s="12" t="s">
        <v>152</v>
      </c>
      <c r="E38" t="s">
        <v>103</v>
      </c>
      <c r="F38" t="s">
        <v>104</v>
      </c>
      <c r="G38" t="s">
        <v>105</v>
      </c>
      <c r="H38" t="s">
        <v>106</v>
      </c>
      <c r="I38" t="s">
        <v>107</v>
      </c>
      <c r="J38" t="s">
        <v>108</v>
      </c>
      <c r="K38" t="s">
        <v>109</v>
      </c>
      <c r="L38" t="s">
        <v>110</v>
      </c>
      <c r="M38" t="s">
        <v>111</v>
      </c>
      <c r="N38" t="s">
        <v>112</v>
      </c>
      <c r="O38" t="s">
        <v>113</v>
      </c>
      <c r="P38" t="s">
        <v>114</v>
      </c>
      <c r="Q38" t="s">
        <v>115</v>
      </c>
      <c r="R38" t="s">
        <v>116</v>
      </c>
      <c r="S38" t="s">
        <v>117</v>
      </c>
      <c r="T38" t="s">
        <v>118</v>
      </c>
      <c r="U38" t="s">
        <v>119</v>
      </c>
      <c r="V38" t="s">
        <v>120</v>
      </c>
      <c r="W38" t="s">
        <v>121</v>
      </c>
      <c r="X38" t="s">
        <v>122</v>
      </c>
      <c r="Y38" t="s">
        <v>123</v>
      </c>
      <c r="Z38" t="s">
        <v>124</v>
      </c>
      <c r="AA38" t="s">
        <v>125</v>
      </c>
      <c r="AB38" t="s">
        <v>126</v>
      </c>
      <c r="AC38" t="s">
        <v>127</v>
      </c>
      <c r="AD38" t="s">
        <v>128</v>
      </c>
      <c r="AE38" t="s">
        <v>129</v>
      </c>
      <c r="AF38" t="s">
        <v>130</v>
      </c>
      <c r="AG38" t="s">
        <v>131</v>
      </c>
      <c r="AH38" t="s">
        <v>132</v>
      </c>
      <c r="AI38" t="s">
        <v>133</v>
      </c>
      <c r="AJ38" t="s">
        <v>134</v>
      </c>
      <c r="AK38" t="s">
        <v>135</v>
      </c>
      <c r="AL38" t="s">
        <v>136</v>
      </c>
      <c r="AM38" t="s">
        <v>137</v>
      </c>
      <c r="AN38" t="s">
        <v>138</v>
      </c>
      <c r="AO38" t="s">
        <v>139</v>
      </c>
      <c r="AP38" t="s">
        <v>140</v>
      </c>
      <c r="AT38" t="s">
        <v>142</v>
      </c>
      <c r="AU38">
        <f>IF(AND(E6&gt;0,AU39=0),1,0)</f>
        <v>0</v>
      </c>
    </row>
    <row r="39" spans="1:47" x14ac:dyDescent="0.25">
      <c r="D39" s="1" t="s">
        <v>160</v>
      </c>
      <c r="E39">
        <f>IF(AND(C6&gt;0,(B6+C6=0)),1,0)</f>
        <v>0</v>
      </c>
      <c r="F39">
        <f>C6-E39</f>
        <v>1</v>
      </c>
      <c r="G39">
        <f>IF(A6&gt;0,1,0)</f>
        <v>1</v>
      </c>
      <c r="H39">
        <f>A6-G39</f>
        <v>0</v>
      </c>
      <c r="I39">
        <f>IF(AND(A6=0,B6&gt;0),1,0)</f>
        <v>0</v>
      </c>
      <c r="J39">
        <f>B6-I39</f>
        <v>1</v>
      </c>
      <c r="K39">
        <f>IF(AND(C6+D6&gt;0,A6+B6=0),1,0)</f>
        <v>0</v>
      </c>
      <c r="M39">
        <f>IF(A6&gt;0,1,0)</f>
        <v>1</v>
      </c>
      <c r="N39">
        <f>IF(B6&gt;0,1,0)</f>
        <v>1</v>
      </c>
      <c r="O39">
        <f>IF(C6&gt;0,1,0)</f>
        <v>1</v>
      </c>
      <c r="P39">
        <f>IF(A6+B6&gt;0,1,0)</f>
        <v>1</v>
      </c>
      <c r="Q39">
        <f>IF(A6+B6+C6&gt;0,1,0)</f>
        <v>1</v>
      </c>
      <c r="T39">
        <f>P39</f>
        <v>1</v>
      </c>
      <c r="U39">
        <f>Q39</f>
        <v>1</v>
      </c>
      <c r="V39">
        <f>IF(B6+C6&gt;0,1,0)</f>
        <v>1</v>
      </c>
      <c r="W39">
        <f>IF(A6+B6&gt;1,1,0)</f>
        <v>1</v>
      </c>
      <c r="X39">
        <f>IF(A6+B6+D6&gt;0,1,0)</f>
        <v>1</v>
      </c>
      <c r="Y39">
        <f>O39</f>
        <v>1</v>
      </c>
      <c r="Z39">
        <f>IF(D6&gt;0,1,0)</f>
        <v>1</v>
      </c>
      <c r="AA39">
        <f>IF(D6&gt;1,1,0)</f>
        <v>0</v>
      </c>
      <c r="AB39">
        <f>IF(AU38=1,1,0)</f>
        <v>0</v>
      </c>
      <c r="AC39">
        <f>AB39</f>
        <v>0</v>
      </c>
      <c r="AD39">
        <f>IF(AU39=1,1,0)</f>
        <v>1</v>
      </c>
      <c r="AE39">
        <f>AD39</f>
        <v>1</v>
      </c>
      <c r="AF39">
        <f>IF(SUM('c+4'!F9:H9)=1,1,0)</f>
        <v>0</v>
      </c>
      <c r="AG39">
        <f>IF(AND(E6&gt;0,AF39=0),1,0)</f>
        <v>1</v>
      </c>
      <c r="AH39">
        <f>A6</f>
        <v>1</v>
      </c>
      <c r="AI39">
        <f>B6</f>
        <v>1</v>
      </c>
      <c r="AJ39">
        <f>C6</f>
        <v>1</v>
      </c>
      <c r="AK39">
        <f>D6</f>
        <v>1</v>
      </c>
      <c r="AM39">
        <f>IF(AND(OR(E6=1,E6=2),C6+D6&gt;0),1,0)</f>
        <v>0</v>
      </c>
      <c r="AN39">
        <f>IF(AND(OR(E6=1,E6=2),C6+D6=0),1,0)</f>
        <v>0</v>
      </c>
      <c r="AO39">
        <f>IF(AND(E6&gt;2,C6+D6&gt;0),1,0)</f>
        <v>1</v>
      </c>
      <c r="AP39">
        <f>IF(AND(E6&gt;2,C6+D6=0),1,0)</f>
        <v>0</v>
      </c>
      <c r="AT39" t="s">
        <v>143</v>
      </c>
      <c r="AU39">
        <f>IF(OR(L9=1,AND(K9=1,D6&gt;0)),1,0)</f>
        <v>1</v>
      </c>
    </row>
    <row r="40" spans="1:47" x14ac:dyDescent="0.25">
      <c r="D40" s="1" t="s">
        <v>153</v>
      </c>
      <c r="E40">
        <f>'2023 components'!R16</f>
        <v>97.808191506804391</v>
      </c>
      <c r="F40">
        <f>'2023 components'!S16</f>
        <v>97.808191506804391</v>
      </c>
      <c r="G40">
        <f>'2023 components'!T16</f>
        <v>286.44531759360001</v>
      </c>
      <c r="H40">
        <f>'2023 components'!U16</f>
        <v>286.44531759360001</v>
      </c>
      <c r="I40">
        <f>'2023 components'!V16</f>
        <v>149.5269997794</v>
      </c>
      <c r="J40">
        <f>'2023 components'!W16</f>
        <v>149.5269997794</v>
      </c>
      <c r="K40">
        <f>'2023 components'!X12</f>
        <v>0</v>
      </c>
      <c r="M40">
        <f>'2023 components'!Z14</f>
        <v>0.37155333390804135</v>
      </c>
      <c r="N40">
        <f>'2023 components'!AA14</f>
        <v>0.20981061908861412</v>
      </c>
      <c r="O40">
        <f>'2023 components'!AB14</f>
        <v>2.765499223273549E-2</v>
      </c>
      <c r="P40">
        <f>'2023 components'!AC14</f>
        <v>0.45757058606196299</v>
      </c>
      <c r="Q40">
        <f>'2023 components'!AD14</f>
        <v>0</v>
      </c>
      <c r="T40">
        <f>'2023 components'!AG17</f>
        <v>0.4427448878615744</v>
      </c>
      <c r="U40">
        <f>'2023 components'!AH17</f>
        <v>2.2037157368483872E-3</v>
      </c>
      <c r="V40">
        <f>'2023 components'!AI17</f>
        <v>4.1756156794292863E-2</v>
      </c>
      <c r="W40">
        <f>'2023 components'!AJ17</f>
        <v>1.0010745187572745</v>
      </c>
      <c r="X40">
        <f>'2023 components'!AK21</f>
        <v>1.7708063721874043</v>
      </c>
      <c r="Y40">
        <f>'2023 components'!AL21</f>
        <v>0</v>
      </c>
      <c r="Z40">
        <f>'2023 components'!AM21</f>
        <v>0</v>
      </c>
      <c r="AA40">
        <f>'2023 components'!AN21</f>
        <v>0</v>
      </c>
      <c r="AB40">
        <f>'2023 components'!AO18</f>
        <v>47.585682423790196</v>
      </c>
      <c r="AC40">
        <f>'2023 components'!AP18</f>
        <v>0.15373698674784678</v>
      </c>
      <c r="AD40">
        <f>'2023 components'!AQ18</f>
        <v>40.949750209232455</v>
      </c>
      <c r="AE40">
        <f>'2023 components'!AR18</f>
        <v>0.28419018572091292</v>
      </c>
      <c r="AF40">
        <f>'2023 components'!AS18</f>
        <v>157.17560741575514</v>
      </c>
      <c r="AG40">
        <f>'2023 components'!AT18</f>
        <v>161.25115699804385</v>
      </c>
      <c r="AH40">
        <f>'2023 components'!AU18</f>
        <v>20.911062685354459</v>
      </c>
      <c r="AI40">
        <f>'2023 components'!AV18</f>
        <v>22.813034342203263</v>
      </c>
      <c r="AJ40">
        <f>'2023 components'!AW18</f>
        <v>34.309868603155259</v>
      </c>
      <c r="AK40">
        <f>'2023 components'!AX18</f>
        <v>14.47198545602275</v>
      </c>
      <c r="AM40">
        <f>'2023 components'!AZ21</f>
        <v>20.245142765795233</v>
      </c>
      <c r="AN40">
        <f>'2023 components'!BA21</f>
        <v>8.1296785617668021</v>
      </c>
      <c r="AO40">
        <f>'2023 components'!BB21</f>
        <v>24.321346007230513</v>
      </c>
      <c r="AP40">
        <f>'2023 components'!BC21</f>
        <v>10.284878384692947</v>
      </c>
    </row>
    <row r="41" spans="1:47" x14ac:dyDescent="0.25">
      <c r="D41" s="1" t="s">
        <v>159</v>
      </c>
      <c r="E41" s="1">
        <f>E39*E40</f>
        <v>0</v>
      </c>
      <c r="F41" s="1">
        <f t="shared" ref="F41:AP41" si="2">F39*F40</f>
        <v>97.808191506804391</v>
      </c>
      <c r="G41" s="1">
        <f t="shared" si="2"/>
        <v>286.44531759360001</v>
      </c>
      <c r="H41" s="1">
        <f t="shared" si="2"/>
        <v>0</v>
      </c>
      <c r="I41" s="1">
        <f t="shared" si="2"/>
        <v>0</v>
      </c>
      <c r="J41" s="1">
        <f t="shared" si="2"/>
        <v>149.5269997794</v>
      </c>
      <c r="K41" s="1">
        <f t="shared" si="2"/>
        <v>0</v>
      </c>
      <c r="L41" s="1">
        <f t="shared" si="2"/>
        <v>0</v>
      </c>
      <c r="M41" s="1">
        <f t="shared" si="2"/>
        <v>0.37155333390804135</v>
      </c>
      <c r="N41" s="1">
        <f t="shared" si="2"/>
        <v>0.20981061908861412</v>
      </c>
      <c r="O41" s="1">
        <f t="shared" si="2"/>
        <v>2.765499223273549E-2</v>
      </c>
      <c r="P41" s="1">
        <f t="shared" si="2"/>
        <v>0.45757058606196299</v>
      </c>
      <c r="Q41" s="1">
        <f t="shared" si="2"/>
        <v>0</v>
      </c>
      <c r="R41" s="1">
        <f t="shared" si="2"/>
        <v>0</v>
      </c>
      <c r="S41" s="1">
        <f t="shared" si="2"/>
        <v>0</v>
      </c>
      <c r="T41" s="1">
        <f t="shared" si="2"/>
        <v>0.4427448878615744</v>
      </c>
      <c r="U41" s="1">
        <f t="shared" si="2"/>
        <v>2.2037157368483872E-3</v>
      </c>
      <c r="V41" s="1">
        <f t="shared" si="2"/>
        <v>4.1756156794292863E-2</v>
      </c>
      <c r="W41" s="1">
        <f t="shared" si="2"/>
        <v>1.0010745187572745</v>
      </c>
      <c r="X41" s="1">
        <f t="shared" si="2"/>
        <v>1.7708063721874043</v>
      </c>
      <c r="Y41" s="1">
        <f t="shared" si="2"/>
        <v>0</v>
      </c>
      <c r="Z41" s="1">
        <f t="shared" si="2"/>
        <v>0</v>
      </c>
      <c r="AA41" s="1">
        <f t="shared" si="2"/>
        <v>0</v>
      </c>
      <c r="AB41" s="1">
        <f t="shared" si="2"/>
        <v>0</v>
      </c>
      <c r="AC41" s="1">
        <f t="shared" si="2"/>
        <v>0</v>
      </c>
      <c r="AD41" s="1">
        <f t="shared" si="2"/>
        <v>40.949750209232455</v>
      </c>
      <c r="AE41" s="1">
        <f t="shared" si="2"/>
        <v>0.28419018572091292</v>
      </c>
      <c r="AF41" s="1">
        <f t="shared" si="2"/>
        <v>0</v>
      </c>
      <c r="AG41" s="1">
        <f t="shared" si="2"/>
        <v>161.25115699804385</v>
      </c>
      <c r="AH41" s="1">
        <f t="shared" si="2"/>
        <v>20.911062685354459</v>
      </c>
      <c r="AI41" s="1">
        <f t="shared" si="2"/>
        <v>22.813034342203263</v>
      </c>
      <c r="AJ41" s="1">
        <f t="shared" si="2"/>
        <v>34.309868603155259</v>
      </c>
      <c r="AK41" s="1">
        <f t="shared" si="2"/>
        <v>14.47198545602275</v>
      </c>
      <c r="AL41" s="1">
        <f t="shared" si="2"/>
        <v>0</v>
      </c>
      <c r="AM41" s="1">
        <f t="shared" si="2"/>
        <v>0</v>
      </c>
      <c r="AN41" s="1">
        <f t="shared" si="2"/>
        <v>0</v>
      </c>
      <c r="AO41" s="1">
        <f t="shared" si="2"/>
        <v>24.321346007230513</v>
      </c>
      <c r="AP41" s="1">
        <f t="shared" si="2"/>
        <v>0</v>
      </c>
    </row>
    <row r="42" spans="1:47" x14ac:dyDescent="0.25">
      <c r="D42" s="1" t="s">
        <v>87</v>
      </c>
      <c r="E42" t="s">
        <v>76</v>
      </c>
      <c r="F42" t="s">
        <v>76</v>
      </c>
      <c r="G42" t="s">
        <v>76</v>
      </c>
      <c r="H42" t="s">
        <v>76</v>
      </c>
      <c r="I42" t="s">
        <v>76</v>
      </c>
      <c r="J42" t="s">
        <v>76</v>
      </c>
      <c r="K42" t="s">
        <v>72</v>
      </c>
      <c r="M42" t="s">
        <v>7</v>
      </c>
      <c r="N42" t="s">
        <v>7</v>
      </c>
      <c r="O42" t="s">
        <v>7</v>
      </c>
      <c r="P42" t="s">
        <v>7</v>
      </c>
      <c r="Q42" t="s">
        <v>7</v>
      </c>
      <c r="T42" t="s">
        <v>154</v>
      </c>
      <c r="U42" t="s">
        <v>154</v>
      </c>
      <c r="V42" t="s">
        <v>154</v>
      </c>
      <c r="W42" t="s">
        <v>154</v>
      </c>
      <c r="X42" t="s">
        <v>155</v>
      </c>
      <c r="Y42" t="s">
        <v>155</v>
      </c>
      <c r="Z42" t="s">
        <v>155</v>
      </c>
      <c r="AA42" t="s">
        <v>155</v>
      </c>
      <c r="AB42" t="s">
        <v>10</v>
      </c>
      <c r="AC42" t="s">
        <v>10</v>
      </c>
      <c r="AD42" t="s">
        <v>10</v>
      </c>
      <c r="AE42" t="s">
        <v>10</v>
      </c>
      <c r="AF42" t="s">
        <v>10</v>
      </c>
      <c r="AG42" t="s">
        <v>10</v>
      </c>
      <c r="AH42" t="s">
        <v>10</v>
      </c>
      <c r="AI42" t="s">
        <v>10</v>
      </c>
      <c r="AJ42" t="s">
        <v>10</v>
      </c>
      <c r="AK42" t="s">
        <v>10</v>
      </c>
      <c r="AM42" t="s">
        <v>155</v>
      </c>
      <c r="AN42" t="s">
        <v>155</v>
      </c>
      <c r="AO42" t="s">
        <v>155</v>
      </c>
      <c r="AP42" t="s">
        <v>155</v>
      </c>
    </row>
    <row r="44" spans="1:47" x14ac:dyDescent="0.25">
      <c r="AC44" t="s">
        <v>156</v>
      </c>
    </row>
    <row r="45" spans="1:47" x14ac:dyDescent="0.25">
      <c r="AC45" t="s">
        <v>157</v>
      </c>
      <c r="AD45">
        <f>AB41+AD41</f>
        <v>40.949750209232455</v>
      </c>
    </row>
    <row r="46" spans="1:47" x14ac:dyDescent="0.25">
      <c r="AC46" t="s">
        <v>11</v>
      </c>
      <c r="AD46">
        <f>SUM(AF41:AK41)</f>
        <v>253.75710808477959</v>
      </c>
    </row>
    <row r="47" spans="1:47" x14ac:dyDescent="0.25">
      <c r="AC47" t="s">
        <v>158</v>
      </c>
      <c r="AD47">
        <f>SUM(AC41,AE41)*AD46</f>
        <v>72.11527967461528</v>
      </c>
    </row>
    <row r="48" spans="1:47" x14ac:dyDescent="0.25">
      <c r="AC48" t="s">
        <v>146</v>
      </c>
      <c r="AD48">
        <f>AD45+AD47</f>
        <v>113.06502988384773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BCDC9-378E-4E07-B7B7-D493A1F6F940}">
  <dimension ref="A1:H25"/>
  <sheetViews>
    <sheetView zoomScale="115" zoomScaleNormal="115" workbookViewId="0">
      <selection activeCell="F5" sqref="F5"/>
    </sheetView>
  </sheetViews>
  <sheetFormatPr defaultColWidth="8.85546875" defaultRowHeight="15" x14ac:dyDescent="0.25"/>
  <cols>
    <col min="1" max="1" width="50" customWidth="1"/>
    <col min="3" max="3" width="59.7109375" customWidth="1"/>
    <col min="4" max="4" width="10.42578125" style="29" customWidth="1"/>
  </cols>
  <sheetData>
    <row r="1" spans="1:8" ht="34.5" customHeight="1" x14ac:dyDescent="0.25">
      <c r="A1" s="45" t="s">
        <v>251</v>
      </c>
      <c r="B1" s="45"/>
      <c r="C1" s="28" t="s">
        <v>203</v>
      </c>
    </row>
    <row r="2" spans="1:8" x14ac:dyDescent="0.25">
      <c r="A2" t="s">
        <v>204</v>
      </c>
    </row>
    <row r="3" spans="1:8" ht="30" x14ac:dyDescent="0.25">
      <c r="A3" s="30" t="s">
        <v>205</v>
      </c>
      <c r="C3" s="31" t="s">
        <v>206</v>
      </c>
      <c r="D3"/>
    </row>
    <row r="4" spans="1:8" x14ac:dyDescent="0.25">
      <c r="A4" s="7" t="s">
        <v>207</v>
      </c>
      <c r="B4" s="32">
        <v>1</v>
      </c>
      <c r="C4" s="7" t="s">
        <v>208</v>
      </c>
      <c r="D4" s="32">
        <v>1</v>
      </c>
    </row>
    <row r="5" spans="1:8" x14ac:dyDescent="0.25">
      <c r="A5" s="7" t="s">
        <v>209</v>
      </c>
      <c r="B5" s="32">
        <v>0</v>
      </c>
      <c r="C5" s="7" t="s">
        <v>210</v>
      </c>
      <c r="D5" s="32">
        <v>1</v>
      </c>
    </row>
    <row r="6" spans="1:8" x14ac:dyDescent="0.25">
      <c r="A6" s="1"/>
      <c r="C6" s="7" t="s">
        <v>211</v>
      </c>
      <c r="D6" s="32">
        <v>0</v>
      </c>
    </row>
    <row r="7" spans="1:8" x14ac:dyDescent="0.25">
      <c r="C7" s="7" t="s">
        <v>212</v>
      </c>
      <c r="D7" s="32">
        <v>0</v>
      </c>
    </row>
    <row r="8" spans="1:8" ht="28.5" customHeight="1" x14ac:dyDescent="0.25">
      <c r="A8" s="46" t="s">
        <v>250</v>
      </c>
      <c r="B8" s="46"/>
      <c r="C8" s="33" t="s">
        <v>213</v>
      </c>
      <c r="D8"/>
    </row>
    <row r="9" spans="1:8" x14ac:dyDescent="0.25">
      <c r="A9" s="8" t="s">
        <v>65</v>
      </c>
      <c r="B9" s="29">
        <f>IF('this case'!J$19=0,'this case'!B13,"NA")</f>
        <v>95.276236967992901</v>
      </c>
      <c r="C9" s="7" t="s">
        <v>214</v>
      </c>
      <c r="D9" s="29">
        <f>SUM(B9:B25)</f>
        <v>1055.2965222592584</v>
      </c>
      <c r="F9" s="33"/>
    </row>
    <row r="10" spans="1:8" x14ac:dyDescent="0.25">
      <c r="A10" s="8" t="s">
        <v>66</v>
      </c>
      <c r="B10" s="29">
        <f>IF('this case'!J$19=0,'this case'!B14,"NA")</f>
        <v>5.8826531201912449</v>
      </c>
      <c r="C10" s="34" t="s">
        <v>215</v>
      </c>
    </row>
    <row r="11" spans="1:8" x14ac:dyDescent="0.25">
      <c r="A11" s="8" t="s">
        <v>67</v>
      </c>
      <c r="B11" s="29">
        <f>IF('this case'!J$19=0,'this case'!B15,"NA")</f>
        <v>0</v>
      </c>
      <c r="C11" s="7" t="s">
        <v>216</v>
      </c>
      <c r="D11" s="29">
        <f>D9-B25-B20</f>
        <v>511.74365784482143</v>
      </c>
    </row>
    <row r="12" spans="1:8" x14ac:dyDescent="0.25">
      <c r="A12" s="8" t="s">
        <v>68</v>
      </c>
      <c r="B12" s="29">
        <f>IF('this case'!J$19=0,'this case'!B16,"NA")</f>
        <v>40.226851864955165</v>
      </c>
      <c r="C12" s="7" t="s">
        <v>217</v>
      </c>
      <c r="D12" s="29">
        <f>D11-B14</f>
        <v>487.61302451148811</v>
      </c>
    </row>
    <row r="13" spans="1:8" x14ac:dyDescent="0.25">
      <c r="A13" s="8" t="s">
        <v>69</v>
      </c>
      <c r="B13" s="29">
        <f>IF('this case'!J$19=0,'this case'!B17,"NA")</f>
        <v>12.54056925996205</v>
      </c>
    </row>
    <row r="14" spans="1:8" x14ac:dyDescent="0.25">
      <c r="A14" s="8" t="s">
        <v>70</v>
      </c>
      <c r="B14" s="29">
        <f>IF('this case'!J$19=0,'this case'!B18,"NA")</f>
        <v>24.130633333333332</v>
      </c>
      <c r="H14" s="34" t="s">
        <v>218</v>
      </c>
    </row>
    <row r="15" spans="1:8" x14ac:dyDescent="0.25">
      <c r="A15" s="8" t="s">
        <v>71</v>
      </c>
      <c r="B15" s="29">
        <f>IF('this case'!J$19=0,'this case'!B19,"NA")</f>
        <v>1.7255534743066059</v>
      </c>
      <c r="C15" s="7" t="s">
        <v>219</v>
      </c>
      <c r="D15" s="29">
        <f>D9-B14-B20</f>
        <v>595.19357155292494</v>
      </c>
      <c r="E15" s="7"/>
      <c r="F15" s="22" t="s">
        <v>220</v>
      </c>
    </row>
    <row r="16" spans="1:8" x14ac:dyDescent="0.25">
      <c r="A16" s="8" t="s">
        <v>72</v>
      </c>
      <c r="B16" s="29">
        <f>IF('this case'!J$19=0,'this case'!B20,"NA")</f>
        <v>58.640336710410963</v>
      </c>
      <c r="C16" s="35" t="s">
        <v>221</v>
      </c>
      <c r="D16" s="29">
        <f>D12-B13</f>
        <v>475.07245525152604</v>
      </c>
    </row>
    <row r="17" spans="1:8" x14ac:dyDescent="0.25">
      <c r="A17" s="8" t="s">
        <v>73</v>
      </c>
      <c r="B17" s="29">
        <f>IF('this case'!J$19=0,'this case'!B21,"NA")</f>
        <v>2.1941982272361029</v>
      </c>
    </row>
    <row r="18" spans="1:8" x14ac:dyDescent="0.25">
      <c r="A18" s="8" t="s">
        <v>74</v>
      </c>
      <c r="B18" s="29">
        <f>IF('this case'!J$19=0,'this case'!B22,"NA")</f>
        <v>34.636267586825952</v>
      </c>
      <c r="C18" s="36">
        <v>1</v>
      </c>
    </row>
    <row r="19" spans="1:8" x14ac:dyDescent="0.25">
      <c r="A19" s="8" t="s">
        <v>75</v>
      </c>
      <c r="B19" s="29">
        <f>IF('this case'!J$19=0,'this case'!B23,"NA")</f>
        <v>15.01990478016584</v>
      </c>
      <c r="C19" s="36"/>
    </row>
    <row r="20" spans="1:8" x14ac:dyDescent="0.25">
      <c r="A20" s="8" t="s">
        <v>76</v>
      </c>
      <c r="B20" s="29">
        <f>IF('this case'!J$19=0,'this case'!B24,"NA")</f>
        <v>435.97231737300001</v>
      </c>
      <c r="F20" s="1"/>
      <c r="H20" s="1"/>
    </row>
    <row r="21" spans="1:8" x14ac:dyDescent="0.25">
      <c r="A21" s="8" t="s">
        <v>77</v>
      </c>
      <c r="B21" s="29">
        <f>IF('this case'!J$19=0,'this case'!B25,"NA")</f>
        <v>50.437082067368799</v>
      </c>
      <c r="F21" s="29"/>
    </row>
    <row r="22" spans="1:8" x14ac:dyDescent="0.25">
      <c r="A22" s="8" t="s">
        <v>10</v>
      </c>
      <c r="B22" s="29">
        <f>IF('this case'!J$19=0,'this case'!B26,"NA")</f>
        <v>78.471397623438122</v>
      </c>
    </row>
    <row r="23" spans="1:8" x14ac:dyDescent="0.25">
      <c r="A23" s="8" t="s">
        <v>78</v>
      </c>
      <c r="B23" s="29">
        <f>IF('this case'!J$19=0,'this case'!B27,"NA")</f>
        <v>16.244970542809003</v>
      </c>
    </row>
    <row r="24" spans="1:8" x14ac:dyDescent="0.25">
      <c r="A24" s="8" t="s">
        <v>79</v>
      </c>
      <c r="B24" s="29">
        <f>IF('this case'!J$19=0,'this case'!B28,"NA")</f>
        <v>76.317002285825239</v>
      </c>
    </row>
    <row r="25" spans="1:8" x14ac:dyDescent="0.25">
      <c r="A25" s="8" t="s">
        <v>80</v>
      </c>
      <c r="B25" s="29">
        <f>IF('this case'!J$19=0,'this case'!B29,"NA")</f>
        <v>107.58054704143699</v>
      </c>
    </row>
  </sheetData>
  <mergeCells count="2">
    <mergeCell ref="A1:B1"/>
    <mergeCell ref="A8:B8"/>
  </mergeCells>
  <hyperlinks>
    <hyperlink ref="F15" location="'HBAI note'!A1" display="See note" xr:uid="{0116A1B4-573D-48CA-8418-5B055395B4E4}"/>
    <hyperlink ref="C1" location="'User notes'!A1" display="For usage, see notes" xr:uid="{906CE1F8-6C9F-42B6-8321-50B88DAEE49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89833-A35B-4EE1-A259-2D0CF8EC7398}">
  <dimension ref="A1:M13"/>
  <sheetViews>
    <sheetView workbookViewId="0">
      <selection activeCell="H31" sqref="H31"/>
    </sheetView>
  </sheetViews>
  <sheetFormatPr defaultColWidth="8.85546875" defaultRowHeight="15" x14ac:dyDescent="0.25"/>
  <sheetData>
    <row r="1" spans="1:13" x14ac:dyDescent="0.25">
      <c r="A1" s="22" t="s">
        <v>180</v>
      </c>
    </row>
    <row r="3" spans="1:13" x14ac:dyDescent="0.25">
      <c r="A3" t="s">
        <v>179</v>
      </c>
    </row>
    <row r="5" spans="1:13" x14ac:dyDescent="0.25">
      <c r="A5" t="s">
        <v>184</v>
      </c>
    </row>
    <row r="7" spans="1:13" x14ac:dyDescent="0.25">
      <c r="A7" t="s">
        <v>181</v>
      </c>
    </row>
    <row r="9" spans="1:13" x14ac:dyDescent="0.25">
      <c r="A9" t="s">
        <v>182</v>
      </c>
    </row>
    <row r="10" spans="1:13" ht="24.75" customHeight="1" x14ac:dyDescent="0.25">
      <c r="A10" t="s">
        <v>183</v>
      </c>
    </row>
    <row r="11" spans="1:13" x14ac:dyDescent="0.25">
      <c r="A11" t="s">
        <v>185</v>
      </c>
    </row>
    <row r="13" spans="1:13" ht="27" customHeight="1" x14ac:dyDescent="0.25">
      <c r="A13" s="47" t="s">
        <v>186</v>
      </c>
      <c r="B13" s="47"/>
      <c r="C13" s="47"/>
      <c r="D13" s="47"/>
      <c r="E13" s="47"/>
      <c r="F13" s="47"/>
      <c r="G13" s="47"/>
      <c r="H13" s="47"/>
      <c r="I13" s="47"/>
      <c r="J13" s="47"/>
      <c r="K13" s="47"/>
      <c r="L13" s="47"/>
      <c r="M13" s="47"/>
    </row>
  </sheetData>
  <mergeCells count="1">
    <mergeCell ref="A13:M13"/>
  </mergeCells>
  <hyperlinks>
    <hyperlink ref="A1" r:id="rId1" xr:uid="{07DDEA83-9482-4852-8FDD-FA911911F46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51"/>
  <sheetViews>
    <sheetView tabSelected="1" topLeftCell="A22" zoomScaleNormal="100" workbookViewId="0">
      <pane xSplit="1" topLeftCell="B1" activePane="topRight" state="frozen"/>
      <selection activeCell="A11" sqref="A11"/>
      <selection pane="topRight" activeCell="P45" sqref="P45"/>
    </sheetView>
  </sheetViews>
  <sheetFormatPr defaultColWidth="8.85546875" defaultRowHeight="15" x14ac:dyDescent="0.25"/>
  <cols>
    <col min="1" max="1" width="15.42578125" customWidth="1"/>
    <col min="2" max="2" width="14" customWidth="1"/>
    <col min="4" max="4" width="11.85546875" customWidth="1"/>
    <col min="5" max="5" width="11" customWidth="1"/>
    <col min="35" max="35" width="11" customWidth="1"/>
    <col min="36" max="36" width="11.42578125" customWidth="1"/>
    <col min="37" max="37" width="14.140625" customWidth="1"/>
  </cols>
  <sheetData>
    <row r="1" spans="1:12" x14ac:dyDescent="0.25">
      <c r="A1" s="1" t="s">
        <v>141</v>
      </c>
    </row>
    <row r="2" spans="1:12" x14ac:dyDescent="0.25">
      <c r="A2" t="s">
        <v>88</v>
      </c>
      <c r="B2">
        <f>calculator!B4</f>
        <v>1</v>
      </c>
    </row>
    <row r="3" spans="1:12" x14ac:dyDescent="0.25">
      <c r="A3" t="s">
        <v>89</v>
      </c>
      <c r="B3">
        <f>calculator!B5</f>
        <v>0</v>
      </c>
    </row>
    <row r="5" spans="1:12" x14ac:dyDescent="0.25">
      <c r="A5" t="s">
        <v>55</v>
      </c>
      <c r="B5" t="s">
        <v>56</v>
      </c>
      <c r="C5" t="s">
        <v>57</v>
      </c>
      <c r="D5" t="s">
        <v>58</v>
      </c>
      <c r="E5" t="s">
        <v>90</v>
      </c>
    </row>
    <row r="6" spans="1:12" x14ac:dyDescent="0.25">
      <c r="A6">
        <f>calculator!D4</f>
        <v>1</v>
      </c>
      <c r="B6">
        <f>calculator!D5</f>
        <v>1</v>
      </c>
      <c r="C6">
        <f>calculator!D6</f>
        <v>0</v>
      </c>
      <c r="D6">
        <f>calculator!D7</f>
        <v>0</v>
      </c>
      <c r="E6">
        <f>SUM(A6:D6)</f>
        <v>2</v>
      </c>
    </row>
    <row r="8" spans="1:12" x14ac:dyDescent="0.25">
      <c r="A8" s="1" t="s">
        <v>87</v>
      </c>
      <c r="B8" t="s">
        <v>0</v>
      </c>
      <c r="C8" t="s">
        <v>1</v>
      </c>
      <c r="D8" t="s">
        <v>2</v>
      </c>
      <c r="E8" t="s">
        <v>3</v>
      </c>
      <c r="F8" t="s">
        <v>91</v>
      </c>
      <c r="G8" t="s">
        <v>92</v>
      </c>
      <c r="H8" t="s">
        <v>93</v>
      </c>
      <c r="I8" t="s">
        <v>94</v>
      </c>
      <c r="J8" t="s">
        <v>95</v>
      </c>
      <c r="K8" t="s">
        <v>96</v>
      </c>
      <c r="L8" t="s">
        <v>97</v>
      </c>
    </row>
    <row r="9" spans="1:12" x14ac:dyDescent="0.25">
      <c r="B9">
        <f>IF(AND(B2=1,E6=0),1,0)</f>
        <v>0</v>
      </c>
      <c r="C9">
        <f>IF(AND(B2=2,E6=0),1,0)</f>
        <v>0</v>
      </c>
      <c r="D9">
        <f>IF(AND(B3=1,E6=0),1,0)</f>
        <v>0</v>
      </c>
      <c r="E9">
        <f>IF(AND(B3=2,E6=0),1,0)</f>
        <v>0</v>
      </c>
      <c r="F9">
        <f>IF(AND(B2=1,E6=1),1,0)</f>
        <v>0</v>
      </c>
      <c r="G9">
        <f>IF(AND(B2=1,E6=2),1,0)</f>
        <v>1</v>
      </c>
      <c r="H9">
        <f>IF(AND(B2=1,E6=3),1,0)</f>
        <v>0</v>
      </c>
      <c r="I9">
        <f>IF(AND(B2=2,E6=1),1,0)</f>
        <v>0</v>
      </c>
      <c r="J9">
        <f>IF(AND(B2=2,E6=2),1,0)</f>
        <v>0</v>
      </c>
      <c r="K9">
        <f>IF(AND(B2=2,E6=3),1,0)</f>
        <v>0</v>
      </c>
      <c r="L9">
        <f>IF(AND(B2=2,E6=4),1,0)</f>
        <v>0</v>
      </c>
    </row>
    <row r="11" spans="1:12" x14ac:dyDescent="0.25">
      <c r="A11" s="1"/>
      <c r="B11" s="1" t="s">
        <v>146</v>
      </c>
      <c r="C11" s="10" t="s">
        <v>147</v>
      </c>
      <c r="D11" s="10" t="s">
        <v>148</v>
      </c>
      <c r="E11" s="10" t="s">
        <v>98</v>
      </c>
    </row>
    <row r="12" spans="1:12" x14ac:dyDescent="0.25">
      <c r="A12" s="9" t="s">
        <v>64</v>
      </c>
      <c r="C12" s="10"/>
      <c r="D12" s="10"/>
      <c r="E12" s="10"/>
    </row>
    <row r="13" spans="1:12" x14ac:dyDescent="0.25">
      <c r="A13" s="8" t="s">
        <v>65</v>
      </c>
      <c r="B13">
        <f>C13+D13+E13</f>
        <v>95.276236967992901</v>
      </c>
      <c r="C13" s="10">
        <f>SUM(B$9*'2023 components'!C5,C$9*'2023 components'!D5,D$9*'2023 components'!E5,E$9*'2023 components'!F5,F$9*'2023 components'!G5,G$9*'2023 components'!H5,H$9*'2023 components'!I5,I$9*'2023 components'!J5,J$9*'2023 components'!K5,K$9*'2023 components'!L5,L$9*'2023 components'!M5)</f>
        <v>50.667272732620511</v>
      </c>
      <c r="D13" s="10">
        <f>SUM(A$6*'2023 components'!N5,B$6*'2023 components'!O5,C$6*'2023 components'!P5,D$6*'2023 components'!Q5)</f>
        <v>44.608964235372397</v>
      </c>
      <c r="E13" s="10"/>
      <c r="H13" s="7" t="s">
        <v>171</v>
      </c>
      <c r="I13" t="s">
        <v>178</v>
      </c>
      <c r="J13" t="s">
        <v>177</v>
      </c>
    </row>
    <row r="14" spans="1:12" x14ac:dyDescent="0.25">
      <c r="A14" s="8" t="s">
        <v>66</v>
      </c>
      <c r="B14">
        <f t="shared" ref="B14:B28" si="0">C14+D14+E14</f>
        <v>5.8826531201912449</v>
      </c>
      <c r="C14" s="10">
        <f>SUM(B$9*'2023 components'!C6,C$9*'2023 components'!D6,D$9*'2023 components'!E6,E$9*'2023 components'!F6,F$9*'2023 components'!G6,G$9*'2023 components'!H6,H$9*'2023 components'!I6,I$9*'2023 components'!J6,J$9*'2023 components'!K6,K$9*'2023 components'!L6,L$9*'2023 components'!M6)</f>
        <v>5.8826531201912449</v>
      </c>
      <c r="D14" s="10">
        <f>SUM(A$6*'2023 components'!N6,B$6*'2023 components'!O6,C$6*'2023 components'!P6,D$6*'2023 components'!Q6)</f>
        <v>0</v>
      </c>
      <c r="E14" s="10"/>
      <c r="H14" s="7" t="s">
        <v>172</v>
      </c>
      <c r="I14">
        <f>IF(AND(B3&gt;0,E6&gt;0),1,0)</f>
        <v>0</v>
      </c>
      <c r="J14">
        <f>IF(I14=1,"MIS DOES NOT CALCULATE BUDGET FOR PENSIONER WITH CHILDREN",0)</f>
        <v>0</v>
      </c>
    </row>
    <row r="15" spans="1:12" x14ac:dyDescent="0.25">
      <c r="A15" s="8" t="s">
        <v>67</v>
      </c>
      <c r="B15">
        <f t="shared" si="0"/>
        <v>0</v>
      </c>
      <c r="C15" s="10">
        <f>SUM(B$9*'2023 components'!C7,C$9*'2023 components'!D7,D$9*'2023 components'!E7,E$9*'2023 components'!F7,F$9*'2023 components'!G7,G$9*'2023 components'!H7,H$9*'2023 components'!I7,I$9*'2023 components'!J7,J$9*'2023 components'!K7,K$9*'2023 components'!L7,L$9*'2023 components'!M7)</f>
        <v>0</v>
      </c>
      <c r="D15" s="10">
        <f>SUM(A$6*'2023 components'!N7,B$6*'2023 components'!O7,C$6*'2023 components'!P7,D$6*'2023 components'!Q7)</f>
        <v>0</v>
      </c>
      <c r="E15" s="10"/>
      <c r="H15" s="7" t="s">
        <v>175</v>
      </c>
      <c r="I15">
        <f>IF(AND(B2=1,B3=1),1,0)</f>
        <v>0</v>
      </c>
      <c r="J15">
        <f>IF(AND(J14=0,I15=1),"MIS DOES NOT REPORT BUDGET FOR PENSIONERS LIVING WITH NON-PENSIONERS",0)</f>
        <v>0</v>
      </c>
    </row>
    <row r="16" spans="1:12" x14ac:dyDescent="0.25">
      <c r="A16" s="8" t="s">
        <v>68</v>
      </c>
      <c r="B16">
        <f t="shared" si="0"/>
        <v>40.226851864955165</v>
      </c>
      <c r="C16" s="10">
        <f>SUM(B$9*'2023 components'!C8,C$9*'2023 components'!D8,D$9*'2023 components'!E8,E$9*'2023 components'!F8,F$9*'2023 components'!G8,G$9*'2023 components'!H8,H$9*'2023 components'!I8,I$9*'2023 components'!J8,J$9*'2023 components'!K8,K$9*'2023 components'!L8,L$9*'2023 components'!M8)</f>
        <v>15.697127222017148</v>
      </c>
      <c r="D16" s="10">
        <f>SUM(A$6*'2023 components'!N8,B$6*'2023 components'!O8,C$6*'2023 components'!P8,D$6*'2023 components'!Q8)</f>
        <v>24.529724642938014</v>
      </c>
      <c r="E16" s="10"/>
      <c r="H16" s="7" t="s">
        <v>176</v>
      </c>
      <c r="I16">
        <f>IF(B2+B3&gt;2,1,0)</f>
        <v>0</v>
      </c>
      <c r="J16">
        <f>IF(AND(J14+J15=0,I16=1),"MIS DOES NOT CALCULATE BUDGETS FOR HOUSEHOLDS WITH MORE THAN TWO ADULTS",0)</f>
        <v>0</v>
      </c>
    </row>
    <row r="17" spans="1:11" x14ac:dyDescent="0.25">
      <c r="A17" s="8" t="s">
        <v>69</v>
      </c>
      <c r="B17">
        <f t="shared" si="0"/>
        <v>12.54056925996205</v>
      </c>
      <c r="C17" s="10">
        <f>SUM(B$9*'2023 components'!C9,C$9*'2023 components'!D9,D$9*'2023 components'!E9,E$9*'2023 components'!F9,F$9*'2023 components'!G9,G$9*'2023 components'!H9,H$9*'2023 components'!I9,I$9*'2023 components'!J9,J$9*'2023 components'!K9,K$9*'2023 components'!L9,L$9*'2023 components'!M9)</f>
        <v>12.54056925996205</v>
      </c>
      <c r="D17" s="10">
        <f>SUM(A$6*'2023 components'!N9,B$6*'2023 components'!O9,C$6*'2023 components'!P9,D$6*'2023 components'!Q9)</f>
        <v>0</v>
      </c>
      <c r="E17" s="10"/>
      <c r="H17" s="7" t="s">
        <v>173</v>
      </c>
      <c r="I17">
        <f>IF(AND(B2=2,E6&gt;4),1,0)</f>
        <v>0</v>
      </c>
      <c r="J17">
        <f>IF(AND(SUM(J14:J16)=0,I17=1),"MIS DOES NOT CALCULATE BUDGETS FOR HOUSEHOLDS WITH MORE THAN FOUR CHILDREN",0)</f>
        <v>0</v>
      </c>
    </row>
    <row r="18" spans="1:11" x14ac:dyDescent="0.25">
      <c r="A18" s="8" t="s">
        <v>70</v>
      </c>
      <c r="B18">
        <f t="shared" si="0"/>
        <v>24.130633333333332</v>
      </c>
      <c r="C18" s="10">
        <f>SUM(B$9*'2023 components'!C10,C$9*'2023 components'!D10,D$9*'2023 components'!E10,E$9*'2023 components'!F10,F$9*'2023 components'!G10,G$9*'2023 components'!H10,H$9*'2023 components'!I10,I$9*'2023 components'!J10,J$9*'2023 components'!K10,K$9*'2023 components'!L10,L$9*'2023 components'!M10)</f>
        <v>24.130633333333332</v>
      </c>
      <c r="D18" s="10">
        <f>SUM(A$6*'2023 components'!N10,B$6*'2023 components'!O10,C$6*'2023 components'!P10,D$6*'2023 components'!Q10)</f>
        <v>0</v>
      </c>
      <c r="E18" s="10"/>
      <c r="H18" s="7" t="s">
        <v>174</v>
      </c>
      <c r="I18">
        <f>IF(AND(B2=1,E6&gt;3),1,0)</f>
        <v>0</v>
      </c>
      <c r="J18">
        <f>IF(AND(SUM(J14:J17)=0,I18=1),"MIS DOES NOT CALCULATE BUDGETS FOR LONE PARENT HOUSEHOLDS WITH MORE THAN THREE CHILDREN",0)</f>
        <v>0</v>
      </c>
    </row>
    <row r="19" spans="1:11" x14ac:dyDescent="0.25">
      <c r="A19" s="8" t="s">
        <v>71</v>
      </c>
      <c r="B19">
        <f t="shared" si="0"/>
        <v>1.7255534743066059</v>
      </c>
      <c r="C19" s="10">
        <f>SUM(B$9*'2023 components'!C11,C$9*'2023 components'!D11,D$9*'2023 components'!E11,E$9*'2023 components'!F11,F$9*'2023 components'!G11,G$9*'2023 components'!H11,H$9*'2023 components'!I11,I$9*'2023 components'!J11,J$9*'2023 components'!K11,K$9*'2023 components'!L11,L$9*'2023 components'!M11)</f>
        <v>1.7255534743066059</v>
      </c>
      <c r="D19" s="10">
        <f>SUM(A$6*'2023 components'!N11,B$6*'2023 components'!O11,C$6*'2023 components'!P11,D$6*'2023 components'!Q11)</f>
        <v>0</v>
      </c>
      <c r="E19" s="10"/>
      <c r="H19" s="7"/>
      <c r="J19" s="1">
        <f>IF(NOT(J14=0),J14,IF(NOT(J15=0),J15,IF(NOT(J16=0),J16,IF(NOT(J17=0),J17,IF(NOT(J18=0),J18,0)))))</f>
        <v>0</v>
      </c>
    </row>
    <row r="20" spans="1:11" x14ac:dyDescent="0.25">
      <c r="A20" s="8" t="s">
        <v>72</v>
      </c>
      <c r="B20">
        <f t="shared" si="0"/>
        <v>58.640336710410963</v>
      </c>
      <c r="C20" s="10">
        <f>SUM(B$9*'2023 components'!C12,C$9*'2023 components'!D12,D$9*'2023 components'!E12,E$9*'2023 components'!F12,F$9*'2023 components'!G12,G$9*'2023 components'!H12,H$9*'2023 components'!I12,I$9*'2023 components'!J12,J$9*'2023 components'!K12,K$9*'2023 components'!L12,L$9*'2023 components'!M12)</f>
        <v>58.640336710410963</v>
      </c>
      <c r="D20" s="10">
        <f>SUM(A$6*'2023 components'!N12,B$6*'2023 components'!O12,C$6*'2023 components'!P12,D$6*'2023 components'!Q12)</f>
        <v>0</v>
      </c>
      <c r="E20" s="10">
        <f>K41</f>
        <v>0</v>
      </c>
    </row>
    <row r="21" spans="1:11" x14ac:dyDescent="0.25">
      <c r="A21" s="8" t="s">
        <v>73</v>
      </c>
      <c r="B21">
        <f t="shared" si="0"/>
        <v>2.1941982272361029</v>
      </c>
      <c r="C21" s="10">
        <f>SUM(B$9*'2023 components'!C13,C$9*'2023 components'!D13,D$9*'2023 components'!E13,E$9*'2023 components'!F13,F$9*'2023 components'!G13,G$9*'2023 components'!H13,H$9*'2023 components'!I13,I$9*'2023 components'!J13,J$9*'2023 components'!K13,K$9*'2023 components'!L13,L$9*'2023 components'!M13)</f>
        <v>2.1941982272361029</v>
      </c>
      <c r="D21" s="10">
        <f>SUM(A$6*'2023 components'!N13,B$6*'2023 components'!O13,C$6*'2023 components'!P13,D$6*'2023 components'!Q13)</f>
        <v>0</v>
      </c>
      <c r="E21" s="10"/>
    </row>
    <row r="22" spans="1:11" x14ac:dyDescent="0.25">
      <c r="A22" s="8" t="s">
        <v>74</v>
      </c>
      <c r="B22">
        <f t="shared" si="0"/>
        <v>34.636267586825952</v>
      </c>
      <c r="C22" s="10">
        <f>SUM(B$9*'2023 components'!C14,C$9*'2023 components'!D14,D$9*'2023 components'!E14,E$9*'2023 components'!F14,F$9*'2023 components'!G14,G$9*'2023 components'!H14,H$9*'2023 components'!I14,I$9*'2023 components'!J14,J$9*'2023 components'!K14,K$9*'2023 components'!L14,L$9*'2023 components'!M14)</f>
        <v>27.098545188095329</v>
      </c>
      <c r="D22" s="10">
        <f>SUM(A$6*'2023 components'!N14,B$6*'2023 components'!O14,C$6*'2023 components'!P14,D$6*'2023 components'!Q14)</f>
        <v>6.4987878596720101</v>
      </c>
      <c r="E22" s="10">
        <f>SUM(M41:Q41)</f>
        <v>1.0389345390586184</v>
      </c>
    </row>
    <row r="23" spans="1:11" x14ac:dyDescent="0.25">
      <c r="A23" s="8" t="s">
        <v>75</v>
      </c>
      <c r="B23">
        <f t="shared" si="0"/>
        <v>15.01990478016584</v>
      </c>
      <c r="C23" s="10">
        <f>SUM(B$9*'2023 components'!C15,C$9*'2023 components'!D15,D$9*'2023 components'!E15,E$9*'2023 components'!F15,F$9*'2023 components'!G15,G$9*'2023 components'!H15,H$9*'2023 components'!I15,I$9*'2023 components'!J15,J$9*'2023 components'!K15,K$9*'2023 components'!L15,L$9*'2023 components'!M15)</f>
        <v>15.01990478016584</v>
      </c>
      <c r="D23" s="10">
        <f>SUM(A$6*'2023 components'!N15,B$6*'2023 components'!O15,C$6*'2023 components'!P15,D$6*'2023 components'!Q15)</f>
        <v>0</v>
      </c>
      <c r="E23" s="10"/>
    </row>
    <row r="24" spans="1:11" x14ac:dyDescent="0.25">
      <c r="A24" s="8" t="s">
        <v>76</v>
      </c>
      <c r="B24">
        <f t="shared" si="0"/>
        <v>435.97231737300001</v>
      </c>
      <c r="C24" s="10">
        <f>SUM(B$9*'2023 components'!C16,C$9*'2023 components'!D16,D$9*'2023 components'!E16,E$9*'2023 components'!F16,F$9*'2023 components'!G16,G$9*'2023 components'!H16,H$9*'2023 components'!I16,I$9*'2023 components'!J16,J$9*'2023 components'!K16,K$9*'2023 components'!L16,L$9*'2023 components'!M16)</f>
        <v>0</v>
      </c>
      <c r="D24" s="10">
        <f>SUM(A$6*'2023 components'!N16,B$6*'2023 components'!O16,C$6*'2023 components'!P16,D$6*'2023 components'!Q16)</f>
        <v>0</v>
      </c>
      <c r="E24" s="10">
        <f>SUM(E41:J41)</f>
        <v>435.97231737300001</v>
      </c>
    </row>
    <row r="25" spans="1:11" x14ac:dyDescent="0.25">
      <c r="A25" s="8" t="s">
        <v>77</v>
      </c>
      <c r="B25">
        <f t="shared" si="0"/>
        <v>50.437082067368799</v>
      </c>
      <c r="C25" s="10">
        <f>SUM(B$9*'2023 components'!C17,C$9*'2023 components'!D17,D$9*'2023 components'!E17,E$9*'2023 components'!F17,F$9*'2023 components'!G17,G$9*'2023 components'!H17,H$9*'2023 components'!I17,I$9*'2023 components'!J17,J$9*'2023 components'!K17,K$9*'2023 components'!L17,L$9*'2023 components'!M17)</f>
        <v>24.385600272454184</v>
      </c>
      <c r="D25" s="10">
        <f>SUM(A$6*'2023 components'!N17,B$6*'2023 components'!O17,C$6*'2023 components'!P17,D$6*'2023 components'!Q17)</f>
        <v>24.563702515764625</v>
      </c>
      <c r="E25" s="10">
        <f>SUM(T41:W41)</f>
        <v>1.4877792791499902</v>
      </c>
    </row>
    <row r="26" spans="1:11" x14ac:dyDescent="0.25">
      <c r="A26" s="8" t="s">
        <v>10</v>
      </c>
      <c r="B26">
        <f t="shared" si="0"/>
        <v>78.471397623438122</v>
      </c>
      <c r="C26" s="10">
        <f>SUM(B$9*'2023 components'!C18,C$9*'2023 components'!D18,D$9*'2023 components'!E18,E$9*'2023 components'!F18,F$9*'2023 components'!G18,G$9*'2023 components'!H18,H$9*'2023 components'!I18,I$9*'2023 components'!J18,J$9*'2023 components'!K18,K$9*'2023 components'!L18,L$9*'2023 components'!M18)</f>
        <v>0</v>
      </c>
      <c r="D26" s="10">
        <f>SUM(A$6*'2023 components'!N18,B$6*'2023 components'!O18,C$6*'2023 components'!P18,D$6*'2023 components'!Q18)</f>
        <v>0</v>
      </c>
      <c r="E26" s="10">
        <f>AD48</f>
        <v>78.471397623438122</v>
      </c>
    </row>
    <row r="27" spans="1:11" x14ac:dyDescent="0.25">
      <c r="A27" s="8" t="s">
        <v>78</v>
      </c>
      <c r="B27">
        <f t="shared" si="0"/>
        <v>16.244970542809003</v>
      </c>
      <c r="C27">
        <f>I27+I28</f>
        <v>16.244970542809003</v>
      </c>
      <c r="D27">
        <f t="shared" ref="D27:E27" si="1">J27+J28</f>
        <v>0</v>
      </c>
      <c r="E27">
        <f t="shared" si="1"/>
        <v>0</v>
      </c>
      <c r="G27" t="s">
        <v>169</v>
      </c>
      <c r="H27">
        <f>I27+J27+K27</f>
        <v>0</v>
      </c>
      <c r="I27" s="10">
        <f>SUM(B$9*'2023 components'!C19,C$9*'2023 components'!D19,D$9*'2023 components'!E19,E$9*'2023 components'!F19,F$9*'2023 components'!G19,G$9*'2023 components'!H19,H$9*'2023 components'!I19,I$9*'2023 components'!J19,J$9*'2023 components'!K19,K$9*'2023 components'!L19,L$9*'2023 components'!M19)</f>
        <v>0</v>
      </c>
      <c r="J27" s="10">
        <f>SUM(A$6*'2023 components'!N19,B$6*'2023 components'!O19,C$6*'2023 components'!P19,D$6*'2023 components'!Q19)</f>
        <v>0</v>
      </c>
      <c r="K27" s="10"/>
    </row>
    <row r="28" spans="1:11" x14ac:dyDescent="0.25">
      <c r="A28" s="8" t="s">
        <v>79</v>
      </c>
      <c r="B28">
        <f t="shared" si="0"/>
        <v>76.317002285825239</v>
      </c>
      <c r="C28" s="10">
        <f>SUM(B$9*'2023 components'!C21,C$9*'2023 components'!D21,D$9*'2023 components'!E21,E$9*'2023 components'!F21,F$9*'2023 components'!G21,G$9*'2023 components'!H21,H$9*'2023 components'!I21,I$9*'2023 components'!J21,J$9*'2023 components'!K21,K$9*'2023 components'!L21,L$9*'2023 components'!M21)</f>
        <v>37.004339392069923</v>
      </c>
      <c r="D28" s="10">
        <f>SUM(A$6*'2023 components'!N21,B$6*'2023 components'!O21,C$6*'2023 components'!P21,D$6*'2023 components'!Q21)</f>
        <v>29.124506726924395</v>
      </c>
      <c r="E28" s="10">
        <f>SUM(X41:AA41)+SUM(AM41:AU41)</f>
        <v>10.18815616683092</v>
      </c>
      <c r="G28" t="s">
        <v>170</v>
      </c>
      <c r="H28">
        <f>I28+J28+K28</f>
        <v>16.244970542809003</v>
      </c>
      <c r="I28" s="10">
        <f>SUM(B$9*'2023 components'!C20,C$9*'2023 components'!D20,D$9*'2023 components'!E20,E$9*'2023 components'!F20,F$9*'2023 components'!G20,G$9*'2023 components'!H20,H$9*'2023 components'!I20,I$9*'2023 components'!J20,J$9*'2023 components'!K20,K$9*'2023 components'!L20,L$9*'2023 components'!M20)</f>
        <v>16.244970542809003</v>
      </c>
      <c r="J28" s="10">
        <f>SUM(A$6*'2023 components'!N20,B$6*'2023 components'!O20,C$6*'2023 components'!P20,D$6*'2023 components'!Q20)</f>
        <v>0</v>
      </c>
      <c r="K28" s="10"/>
    </row>
    <row r="29" spans="1:11" x14ac:dyDescent="0.25">
      <c r="A29" s="8" t="s">
        <v>80</v>
      </c>
      <c r="B29">
        <f t="shared" ref="B29" si="2">C29+D29+E29</f>
        <v>107.58054704143699</v>
      </c>
      <c r="C29" s="10">
        <f>SUM(B$9*'2023 components'!C22,C$9*'2023 components'!D22,D$9*'2023 components'!E22,E$9*'2023 components'!F22,F$9*'2023 components'!G22,G$9*'2023 components'!H22,H$9*'2023 components'!I22,I$9*'2023 components'!J22,J$9*'2023 components'!K22,K$9*'2023 components'!L22,L$9*'2023 components'!M22)</f>
        <v>107.58054704143699</v>
      </c>
      <c r="D29" s="10">
        <f>SUM(A$6*'2023 components'!N22,B$6*'2023 components'!O22,C$6*'2023 components'!P22,D$6*'2023 components'!Q22)</f>
        <v>0</v>
      </c>
      <c r="E29" s="10"/>
    </row>
    <row r="30" spans="1:11" x14ac:dyDescent="0.25">
      <c r="E30" s="10"/>
    </row>
    <row r="33" spans="1:49" x14ac:dyDescent="0.25">
      <c r="A33" s="11" t="s">
        <v>78</v>
      </c>
      <c r="B33" s="11" t="s">
        <v>149</v>
      </c>
      <c r="C33" s="11">
        <f>SUM(B$9*'2023 components'!C17,C$9*'2023 components'!D17,D$9*'2023 components'!E17,E$9*'2023 components'!F17,F$9*'2023 components'!G17,G$9*'2023 components'!H17,H$9*'2023 components'!I17,I$9*'2023 components'!J17,J$9*'2023 components'!K17,K$9*'2023 components'!L17,L$9*'2023 components'!M17)</f>
        <v>24.385600272454184</v>
      </c>
      <c r="D33" s="10">
        <f>SUM(A$6*'2023 components'!N17,B$6*'2023 components'!O17,C$6*'2023 components'!P17,D$6*'2023 components'!Q17)</f>
        <v>24.563702515764625</v>
      </c>
    </row>
    <row r="34" spans="1:49" x14ac:dyDescent="0.25">
      <c r="A34" s="11"/>
      <c r="B34" s="11" t="s">
        <v>150</v>
      </c>
      <c r="C34" s="11">
        <f>SUM(B$9*'2023 components'!C18,C$9*'2023 components'!D18,D$9*'2023 components'!E18,E$9*'2023 components'!F18,F$9*'2023 components'!G18,G$9*'2023 components'!H18,H$9*'2023 components'!I18,I$9*'2023 components'!J18,J$9*'2023 components'!K18,K$9*'2023 components'!L18,L$9*'2023 components'!M18)</f>
        <v>0</v>
      </c>
      <c r="D34" s="10">
        <f>SUM(A$6*'2023 components'!N18,B$6*'2023 components'!O18,C$6*'2023 components'!P18,D$6*'2023 components'!Q18)</f>
        <v>0</v>
      </c>
    </row>
    <row r="35" spans="1:49" x14ac:dyDescent="0.25">
      <c r="A35" s="11"/>
      <c r="B35" s="11" t="s">
        <v>151</v>
      </c>
      <c r="C35" s="11">
        <f>C33+C34</f>
        <v>24.385600272454184</v>
      </c>
      <c r="D35" s="11">
        <f>D33+D34</f>
        <v>24.563702515764625</v>
      </c>
    </row>
    <row r="37" spans="1:49" ht="45" x14ac:dyDescent="0.25">
      <c r="E37" t="s">
        <v>28</v>
      </c>
      <c r="F37" t="s">
        <v>29</v>
      </c>
      <c r="G37" t="s">
        <v>30</v>
      </c>
      <c r="H37" t="s">
        <v>31</v>
      </c>
      <c r="I37" t="s">
        <v>32</v>
      </c>
      <c r="J37" t="s">
        <v>33</v>
      </c>
      <c r="K37" t="s">
        <v>34</v>
      </c>
      <c r="L37" t="s">
        <v>35</v>
      </c>
      <c r="M37" t="s">
        <v>36</v>
      </c>
      <c r="N37" t="s">
        <v>37</v>
      </c>
      <c r="O37" t="s">
        <v>38</v>
      </c>
      <c r="P37" t="s">
        <v>39</v>
      </c>
      <c r="Q37" t="s">
        <v>40</v>
      </c>
      <c r="R37" t="s">
        <v>41</v>
      </c>
      <c r="S37" t="s">
        <v>42</v>
      </c>
      <c r="T37" t="s">
        <v>39</v>
      </c>
      <c r="U37" t="s">
        <v>40</v>
      </c>
      <c r="V37" t="s">
        <v>99</v>
      </c>
      <c r="W37" s="3" t="s">
        <v>44</v>
      </c>
      <c r="X37" t="s">
        <v>100</v>
      </c>
      <c r="Y37" t="s">
        <v>101</v>
      </c>
      <c r="Z37" t="s">
        <v>102</v>
      </c>
      <c r="AA37" t="s">
        <v>48</v>
      </c>
      <c r="AB37" t="s">
        <v>49</v>
      </c>
      <c r="AC37" t="s">
        <v>50</v>
      </c>
      <c r="AD37" t="s">
        <v>51</v>
      </c>
      <c r="AE37" t="s">
        <v>52</v>
      </c>
      <c r="AF37" t="s">
        <v>53</v>
      </c>
      <c r="AG37" t="s">
        <v>54</v>
      </c>
      <c r="AH37" t="s">
        <v>55</v>
      </c>
      <c r="AI37" t="s">
        <v>56</v>
      </c>
      <c r="AJ37" t="s">
        <v>57</v>
      </c>
      <c r="AK37" t="s">
        <v>58</v>
      </c>
      <c r="AL37" t="s">
        <v>145</v>
      </c>
      <c r="AM37" t="s">
        <v>60</v>
      </c>
      <c r="AN37" t="s">
        <v>61</v>
      </c>
      <c r="AO37" t="s">
        <v>62</v>
      </c>
      <c r="AP37" t="s">
        <v>63</v>
      </c>
    </row>
    <row r="38" spans="1:49" ht="45" x14ac:dyDescent="0.25">
      <c r="D38" s="12" t="s">
        <v>152</v>
      </c>
      <c r="E38" t="s">
        <v>103</v>
      </c>
      <c r="F38" t="s">
        <v>104</v>
      </c>
      <c r="G38" t="s">
        <v>105</v>
      </c>
      <c r="H38" t="s">
        <v>106</v>
      </c>
      <c r="I38" t="s">
        <v>107</v>
      </c>
      <c r="J38" t="s">
        <v>108</v>
      </c>
      <c r="K38" t="s">
        <v>109</v>
      </c>
      <c r="L38" t="s">
        <v>110</v>
      </c>
      <c r="M38" t="s">
        <v>111</v>
      </c>
      <c r="N38" t="s">
        <v>112</v>
      </c>
      <c r="O38" t="s">
        <v>113</v>
      </c>
      <c r="P38" t="s">
        <v>114</v>
      </c>
      <c r="Q38" t="s">
        <v>115</v>
      </c>
      <c r="R38" t="s">
        <v>116</v>
      </c>
      <c r="S38" t="s">
        <v>117</v>
      </c>
      <c r="T38" t="s">
        <v>118</v>
      </c>
      <c r="U38" t="s">
        <v>119</v>
      </c>
      <c r="V38" t="s">
        <v>120</v>
      </c>
      <c r="W38" t="s">
        <v>121</v>
      </c>
      <c r="X38" t="s">
        <v>122</v>
      </c>
      <c r="Y38" t="s">
        <v>123</v>
      </c>
      <c r="Z38" t="s">
        <v>124</v>
      </c>
      <c r="AA38" t="s">
        <v>125</v>
      </c>
      <c r="AB38" t="s">
        <v>126</v>
      </c>
      <c r="AC38" t="s">
        <v>127</v>
      </c>
      <c r="AD38" t="s">
        <v>128</v>
      </c>
      <c r="AE38" t="s">
        <v>129</v>
      </c>
      <c r="AF38" t="s">
        <v>130</v>
      </c>
      <c r="AG38" t="s">
        <v>131</v>
      </c>
      <c r="AH38" t="s">
        <v>132</v>
      </c>
      <c r="AI38" t="s">
        <v>133</v>
      </c>
      <c r="AJ38" t="s">
        <v>134</v>
      </c>
      <c r="AK38" t="s">
        <v>135</v>
      </c>
      <c r="AL38" t="s">
        <v>136</v>
      </c>
      <c r="AM38" t="s">
        <v>137</v>
      </c>
      <c r="AN38" t="s">
        <v>138</v>
      </c>
      <c r="AO38" t="s">
        <v>139</v>
      </c>
      <c r="AP38" t="s">
        <v>140</v>
      </c>
      <c r="AQ38" t="s">
        <v>245</v>
      </c>
      <c r="AR38" t="s">
        <v>246</v>
      </c>
      <c r="AS38" t="s">
        <v>247</v>
      </c>
      <c r="AT38" t="s">
        <v>248</v>
      </c>
      <c r="AU38" t="s">
        <v>249</v>
      </c>
      <c r="AV38" t="s">
        <v>144</v>
      </c>
    </row>
    <row r="39" spans="1:49" x14ac:dyDescent="0.25">
      <c r="D39" s="1" t="s">
        <v>160</v>
      </c>
      <c r="E39">
        <f>IF(AND(C6&gt;0,(B6+C6=0)),1,0)</f>
        <v>0</v>
      </c>
      <c r="F39">
        <f>C6-E39</f>
        <v>0</v>
      </c>
      <c r="G39">
        <f>IF(A6&gt;0,1,0)</f>
        <v>1</v>
      </c>
      <c r="H39">
        <f>A6-G39</f>
        <v>0</v>
      </c>
      <c r="I39">
        <f>IF(AND(A6=0,B6&gt;0),1,0)</f>
        <v>0</v>
      </c>
      <c r="J39">
        <f>B6-I39</f>
        <v>1</v>
      </c>
      <c r="K39">
        <f>IF(AND(C6+D6&gt;0,A6+B6=0),1,0)</f>
        <v>0</v>
      </c>
      <c r="M39">
        <f>IF(A6&gt;0,1,0)</f>
        <v>1</v>
      </c>
      <c r="N39">
        <f>IF(B6&gt;0,1,0)</f>
        <v>1</v>
      </c>
      <c r="O39">
        <f>IF(C6&gt;0,1,0)</f>
        <v>0</v>
      </c>
      <c r="P39">
        <f>IF(A6+B6&gt;0,1,0)</f>
        <v>1</v>
      </c>
      <c r="Q39">
        <f>IF(A6+B6+C6&gt;0,1,0)</f>
        <v>1</v>
      </c>
      <c r="S39">
        <f>IF(A6&gt;0,1,0)</f>
        <v>1</v>
      </c>
      <c r="T39">
        <f>P39</f>
        <v>1</v>
      </c>
      <c r="U39">
        <f>Q39</f>
        <v>1</v>
      </c>
      <c r="V39">
        <f>IF(B6+C6&gt;0,1,0)</f>
        <v>1</v>
      </c>
      <c r="W39">
        <f>IF(A6+B6&gt;1,1,0)</f>
        <v>1</v>
      </c>
      <c r="X39">
        <f>IF(A6+B6+D6&gt;0,1,0)</f>
        <v>1</v>
      </c>
      <c r="Y39">
        <f>O39</f>
        <v>0</v>
      </c>
      <c r="Z39">
        <f>IF(D6&gt;0,1,0)</f>
        <v>0</v>
      </c>
      <c r="AA39">
        <f>IF(D6&gt;1,1,0)</f>
        <v>0</v>
      </c>
      <c r="AB39">
        <f>IF(AW39=1,1,0)</f>
        <v>1</v>
      </c>
      <c r="AC39">
        <f>AB39</f>
        <v>1</v>
      </c>
      <c r="AD39">
        <f>IF(AW40=1,1,0)</f>
        <v>0</v>
      </c>
      <c r="AE39">
        <f>AD39</f>
        <v>0</v>
      </c>
      <c r="AF39">
        <f>IF(SUM('this case'!F9:H9)=1,1,0)</f>
        <v>1</v>
      </c>
      <c r="AG39">
        <f>IF(AND(E6&gt;0,AF39=0),1,0)</f>
        <v>0</v>
      </c>
      <c r="AH39">
        <f>A6</f>
        <v>1</v>
      </c>
      <c r="AI39">
        <f>B6</f>
        <v>1</v>
      </c>
      <c r="AJ39">
        <f>C6</f>
        <v>0</v>
      </c>
      <c r="AK39">
        <f>D6</f>
        <v>0</v>
      </c>
      <c r="AM39">
        <f>IF(AND(OR(E6=1,E6=2),C6+D6&gt;0),1,0)</f>
        <v>0</v>
      </c>
      <c r="AN39">
        <f>IF(AND(OR(E6=1,E6=2),C6+D6=0),1,0)</f>
        <v>1</v>
      </c>
      <c r="AO39">
        <f>IF(AND(E6&gt;2,C6+D6&gt;0),1,0)</f>
        <v>0</v>
      </c>
      <c r="AP39">
        <f>IF(AND(E6&gt;2,C6+D6=0),1,0)</f>
        <v>0</v>
      </c>
      <c r="AQ39">
        <f>IF(AND(A6+B6&gt;0,C6+D6=0),1,0)</f>
        <v>1</v>
      </c>
      <c r="AR39">
        <f>IF(AND(E6=2,C6+D6=2),1,0)</f>
        <v>0</v>
      </c>
      <c r="AS39">
        <f>IF(AND(E6=3,C6+D6=3),1,0)</f>
        <v>0</v>
      </c>
      <c r="AT39">
        <f>IF(AND(E6=4,C6+D6=4),1,0)</f>
        <v>0</v>
      </c>
      <c r="AU39">
        <f>IF(AND(E6&gt;2,C6+D6&gt;2),1,0)</f>
        <v>0</v>
      </c>
      <c r="AV39" t="s">
        <v>142</v>
      </c>
      <c r="AW39">
        <f>IF(AND(E6&gt;0,AW40=0),1,0)</f>
        <v>1</v>
      </c>
    </row>
    <row r="40" spans="1:49" x14ac:dyDescent="0.25">
      <c r="D40" s="1" t="s">
        <v>153</v>
      </c>
      <c r="E40">
        <f>'2023 components'!R16</f>
        <v>97.808191506804391</v>
      </c>
      <c r="F40">
        <f>'2023 components'!S16</f>
        <v>97.808191506804391</v>
      </c>
      <c r="G40">
        <f>'2023 components'!T16</f>
        <v>286.44531759360001</v>
      </c>
      <c r="H40">
        <f>'2023 components'!U16</f>
        <v>286.44531759360001</v>
      </c>
      <c r="I40">
        <f>'2023 components'!V16</f>
        <v>149.5269997794</v>
      </c>
      <c r="J40">
        <f>'2023 components'!W16</f>
        <v>149.5269997794</v>
      </c>
      <c r="K40">
        <f>'2023 components'!X12</f>
        <v>0</v>
      </c>
      <c r="M40">
        <f>'2023 components'!Z14</f>
        <v>0.37155333390804135</v>
      </c>
      <c r="N40">
        <f>'2023 components'!AA14</f>
        <v>0.20981061908861412</v>
      </c>
      <c r="O40">
        <f>'2023 components'!AB14</f>
        <v>2.765499223273549E-2</v>
      </c>
      <c r="P40">
        <f>'2023 components'!AC14</f>
        <v>0.45757058606196299</v>
      </c>
      <c r="Q40">
        <f>'2023 components'!AD14</f>
        <v>0</v>
      </c>
      <c r="R40">
        <f>'2023 components'!AE14</f>
        <v>0</v>
      </c>
      <c r="S40" s="20">
        <f>'2023 components'!AF17</f>
        <v>9.3162261512967581E-2</v>
      </c>
      <c r="T40">
        <f>'2023 components'!AG17</f>
        <v>0.4427448878615744</v>
      </c>
      <c r="U40">
        <f>'2023 components'!AH17</f>
        <v>2.2037157368483872E-3</v>
      </c>
      <c r="V40">
        <f>'2023 components'!AI17</f>
        <v>4.1756156794292863E-2</v>
      </c>
      <c r="W40">
        <f>'2023 components'!AJ17</f>
        <v>1.0010745187572745</v>
      </c>
      <c r="X40">
        <f>'2023 components'!AK21</f>
        <v>1.7708063721874043</v>
      </c>
      <c r="Y40">
        <f>'2023 components'!AL21</f>
        <v>0</v>
      </c>
      <c r="Z40">
        <f>'2023 components'!AM21</f>
        <v>0</v>
      </c>
      <c r="AA40">
        <f>'2023 components'!AN21</f>
        <v>0</v>
      </c>
      <c r="AB40">
        <f>'2023 components'!AO18</f>
        <v>47.585682423790196</v>
      </c>
      <c r="AC40">
        <f>'2023 components'!AP18</f>
        <v>0.15373698674784678</v>
      </c>
      <c r="AD40">
        <f>'2023 components'!AQ18</f>
        <v>40.949750209232455</v>
      </c>
      <c r="AE40">
        <f>'2023 components'!AR18</f>
        <v>0.28419018572091292</v>
      </c>
      <c r="AF40">
        <f>'2023 components'!AS18</f>
        <v>157.17560741575514</v>
      </c>
      <c r="AG40">
        <f>'2023 components'!AT18</f>
        <v>161.25115699804385</v>
      </c>
      <c r="AH40">
        <f>'2023 components'!AU18</f>
        <v>20.911062685354459</v>
      </c>
      <c r="AI40">
        <f>'2023 components'!AV18</f>
        <v>22.813034342203263</v>
      </c>
      <c r="AJ40">
        <f>'2023 components'!AW18</f>
        <v>34.309868603155259</v>
      </c>
      <c r="AK40">
        <f>'2023 components'!AX18</f>
        <v>14.47198545602275</v>
      </c>
      <c r="AM40">
        <f>'2023 components'!AZ21</f>
        <v>20.245142765795233</v>
      </c>
      <c r="AN40">
        <f>'2023 components'!BA21</f>
        <v>8.1296785617668021</v>
      </c>
      <c r="AO40">
        <f>'2023 components'!BB21</f>
        <v>24.321346007230513</v>
      </c>
      <c r="AP40">
        <f>'2023 components'!BC21</f>
        <v>10.284878384692947</v>
      </c>
      <c r="AQ40">
        <v>0.28767123287671231</v>
      </c>
      <c r="AR40">
        <v>1.7493468935934684</v>
      </c>
      <c r="AS40">
        <v>1.938010239380102</v>
      </c>
      <c r="AT40">
        <v>2.9070153590701531</v>
      </c>
      <c r="AU40">
        <v>0.9766233766233765</v>
      </c>
      <c r="AV40" t="s">
        <v>143</v>
      </c>
      <c r="AW40">
        <f>IF(OR(L9=1,AND(K9=1,D6&lt;3),AND(H9=1,D6=0)),1,0)</f>
        <v>0</v>
      </c>
    </row>
    <row r="41" spans="1:49" x14ac:dyDescent="0.25">
      <c r="D41" s="1" t="s">
        <v>159</v>
      </c>
      <c r="E41" s="1">
        <f>E39*E40</f>
        <v>0</v>
      </c>
      <c r="F41" s="1">
        <f t="shared" ref="F41:AA41" si="3">F39*F40</f>
        <v>0</v>
      </c>
      <c r="G41" s="1">
        <f t="shared" si="3"/>
        <v>286.44531759360001</v>
      </c>
      <c r="H41" s="1">
        <f t="shared" si="3"/>
        <v>0</v>
      </c>
      <c r="I41" s="1">
        <f t="shared" si="3"/>
        <v>0</v>
      </c>
      <c r="J41" s="1">
        <f t="shared" si="3"/>
        <v>149.5269997794</v>
      </c>
      <c r="K41" s="1">
        <f t="shared" si="3"/>
        <v>0</v>
      </c>
      <c r="L41" s="1">
        <f t="shared" si="3"/>
        <v>0</v>
      </c>
      <c r="M41" s="1">
        <f t="shared" si="3"/>
        <v>0.37155333390804135</v>
      </c>
      <c r="N41" s="1">
        <f t="shared" si="3"/>
        <v>0.20981061908861412</v>
      </c>
      <c r="O41" s="1">
        <f t="shared" si="3"/>
        <v>0</v>
      </c>
      <c r="P41" s="1">
        <f t="shared" si="3"/>
        <v>0.45757058606196299</v>
      </c>
      <c r="Q41" s="1">
        <f t="shared" si="3"/>
        <v>0</v>
      </c>
      <c r="R41" s="1">
        <f t="shared" si="3"/>
        <v>0</v>
      </c>
      <c r="S41" s="1">
        <f t="shared" si="3"/>
        <v>9.3162261512967581E-2</v>
      </c>
      <c r="T41" s="1">
        <f t="shared" si="3"/>
        <v>0.4427448878615744</v>
      </c>
      <c r="U41" s="1">
        <f t="shared" si="3"/>
        <v>2.2037157368483872E-3</v>
      </c>
      <c r="V41" s="1">
        <f t="shared" si="3"/>
        <v>4.1756156794292863E-2</v>
      </c>
      <c r="W41" s="1">
        <f t="shared" si="3"/>
        <v>1.0010745187572745</v>
      </c>
      <c r="X41" s="1">
        <f t="shared" si="3"/>
        <v>1.7708063721874043</v>
      </c>
      <c r="Y41" s="1">
        <f t="shared" si="3"/>
        <v>0</v>
      </c>
      <c r="Z41" s="1">
        <f t="shared" si="3"/>
        <v>0</v>
      </c>
      <c r="AA41" s="1">
        <f t="shared" si="3"/>
        <v>0</v>
      </c>
      <c r="AB41" s="1">
        <f t="shared" ref="AB41" si="4">AB39*AB40</f>
        <v>47.585682423790196</v>
      </c>
      <c r="AC41" s="1">
        <f t="shared" ref="AC41" si="5">AC39*AC40</f>
        <v>0.15373698674784678</v>
      </c>
      <c r="AD41" s="1">
        <f t="shared" ref="AD41" si="6">AD39*AD40</f>
        <v>0</v>
      </c>
      <c r="AE41" s="1">
        <f t="shared" ref="AE41" si="7">AE39*AE40</f>
        <v>0</v>
      </c>
      <c r="AF41" s="1">
        <f t="shared" ref="AF41" si="8">AF39*AF40</f>
        <v>157.17560741575514</v>
      </c>
      <c r="AG41" s="1">
        <f t="shared" ref="AG41" si="9">AG39*AG40</f>
        <v>0</v>
      </c>
      <c r="AH41" s="1">
        <f t="shared" ref="AH41" si="10">AH39*AH40</f>
        <v>20.911062685354459</v>
      </c>
      <c r="AI41" s="1">
        <f t="shared" ref="AI41" si="11">AI39*AI40</f>
        <v>22.813034342203263</v>
      </c>
      <c r="AJ41" s="1">
        <f t="shared" ref="AJ41" si="12">AJ39*AJ40</f>
        <v>0</v>
      </c>
      <c r="AK41" s="1">
        <f t="shared" ref="AK41" si="13">AK39*AK40</f>
        <v>0</v>
      </c>
      <c r="AL41" s="1">
        <f t="shared" ref="AL41" si="14">AL39*AL40</f>
        <v>0</v>
      </c>
      <c r="AM41" s="1">
        <f t="shared" ref="AM41" si="15">AM39*AM40</f>
        <v>0</v>
      </c>
      <c r="AN41" s="1">
        <f t="shared" ref="AN41" si="16">AN39*AN40</f>
        <v>8.1296785617668021</v>
      </c>
      <c r="AO41" s="1">
        <f t="shared" ref="AO41" si="17">AO39*AO40</f>
        <v>0</v>
      </c>
      <c r="AP41" s="1">
        <f t="shared" ref="AP41:AU41" si="18">AP39*AP40</f>
        <v>0</v>
      </c>
      <c r="AQ41" s="1">
        <f t="shared" si="18"/>
        <v>0.28767123287671231</v>
      </c>
      <c r="AR41" s="1">
        <f t="shared" si="18"/>
        <v>0</v>
      </c>
      <c r="AS41" s="1">
        <f t="shared" si="18"/>
        <v>0</v>
      </c>
      <c r="AT41" s="1">
        <f t="shared" si="18"/>
        <v>0</v>
      </c>
      <c r="AU41" s="1">
        <f t="shared" si="18"/>
        <v>0</v>
      </c>
    </row>
    <row r="42" spans="1:49" x14ac:dyDescent="0.25">
      <c r="D42" s="1" t="s">
        <v>87</v>
      </c>
      <c r="E42" t="s">
        <v>76</v>
      </c>
      <c r="F42" t="s">
        <v>76</v>
      </c>
      <c r="G42" t="s">
        <v>76</v>
      </c>
      <c r="H42" t="s">
        <v>76</v>
      </c>
      <c r="I42" t="s">
        <v>76</v>
      </c>
      <c r="J42" t="s">
        <v>76</v>
      </c>
      <c r="K42" t="s">
        <v>72</v>
      </c>
      <c r="M42" t="s">
        <v>7</v>
      </c>
      <c r="N42" t="s">
        <v>7</v>
      </c>
      <c r="O42" t="s">
        <v>7</v>
      </c>
      <c r="P42" t="s">
        <v>7</v>
      </c>
      <c r="Q42" t="s">
        <v>7</v>
      </c>
      <c r="T42" t="s">
        <v>154</v>
      </c>
      <c r="U42" t="s">
        <v>154</v>
      </c>
      <c r="V42" t="s">
        <v>154</v>
      </c>
      <c r="W42" t="s">
        <v>154</v>
      </c>
      <c r="X42" t="s">
        <v>155</v>
      </c>
      <c r="Y42" t="s">
        <v>155</v>
      </c>
      <c r="Z42" t="s">
        <v>155</v>
      </c>
      <c r="AA42" t="s">
        <v>155</v>
      </c>
      <c r="AB42" t="s">
        <v>10</v>
      </c>
      <c r="AC42" t="s">
        <v>10</v>
      </c>
      <c r="AD42" t="s">
        <v>10</v>
      </c>
      <c r="AE42" t="s">
        <v>10</v>
      </c>
      <c r="AF42" t="s">
        <v>10</v>
      </c>
      <c r="AG42" t="s">
        <v>10</v>
      </c>
      <c r="AH42" t="s">
        <v>10</v>
      </c>
      <c r="AI42" t="s">
        <v>10</v>
      </c>
      <c r="AJ42" t="s">
        <v>10</v>
      </c>
      <c r="AK42" t="s">
        <v>10</v>
      </c>
      <c r="AM42" t="s">
        <v>155</v>
      </c>
      <c r="AN42" t="s">
        <v>155</v>
      </c>
      <c r="AO42" t="s">
        <v>155</v>
      </c>
      <c r="AP42" t="s">
        <v>155</v>
      </c>
      <c r="AQ42" t="s">
        <v>155</v>
      </c>
      <c r="AR42" t="s">
        <v>155</v>
      </c>
      <c r="AS42" t="s">
        <v>155</v>
      </c>
      <c r="AT42" t="s">
        <v>155</v>
      </c>
      <c r="AU42" t="s">
        <v>155</v>
      </c>
    </row>
    <row r="43" spans="1:49" x14ac:dyDescent="0.25">
      <c r="AM43" s="20"/>
      <c r="AN43" s="20"/>
      <c r="AO43" s="20"/>
      <c r="AP43" s="20"/>
      <c r="AQ43" s="20"/>
    </row>
    <row r="44" spans="1:49" x14ac:dyDescent="0.25">
      <c r="AC44" t="s">
        <v>156</v>
      </c>
    </row>
    <row r="45" spans="1:49" x14ac:dyDescent="0.25">
      <c r="AC45" t="s">
        <v>157</v>
      </c>
      <c r="AD45">
        <f>AB41+AD41</f>
        <v>47.585682423790196</v>
      </c>
    </row>
    <row r="46" spans="1:49" x14ac:dyDescent="0.25">
      <c r="AC46" t="s">
        <v>11</v>
      </c>
      <c r="AD46">
        <f>SUM(AF41:AK41)</f>
        <v>200.89970444331286</v>
      </c>
    </row>
    <row r="47" spans="1:49" x14ac:dyDescent="0.25">
      <c r="AC47" t="s">
        <v>158</v>
      </c>
      <c r="AD47">
        <f>SUM(AC41,AE41)*AD46</f>
        <v>30.885715199647922</v>
      </c>
    </row>
    <row r="48" spans="1:49" x14ac:dyDescent="0.25">
      <c r="AC48" t="s">
        <v>146</v>
      </c>
      <c r="AD48">
        <f>AD45+AD47</f>
        <v>78.471397623438122</v>
      </c>
    </row>
    <row r="49" customFormat="1" x14ac:dyDescent="0.25"/>
    <row r="50" customFormat="1" x14ac:dyDescent="0.25"/>
    <row r="51" customFormat="1"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22"/>
  <sheetViews>
    <sheetView zoomScale="90" zoomScaleNormal="90" workbookViewId="0">
      <pane xSplit="1" topLeftCell="K1" activePane="topRight" state="frozen"/>
      <selection pane="topRight" activeCell="AF17" sqref="AF17"/>
    </sheetView>
  </sheetViews>
  <sheetFormatPr defaultColWidth="8.85546875" defaultRowHeight="15" x14ac:dyDescent="0.25"/>
  <cols>
    <col min="1" max="1" width="26.7109375" customWidth="1"/>
  </cols>
  <sheetData>
    <row r="1" spans="1:60" x14ac:dyDescent="0.25">
      <c r="A1" s="1" t="s">
        <v>252</v>
      </c>
    </row>
    <row r="2" spans="1:60" x14ac:dyDescent="0.25">
      <c r="G2" t="s">
        <v>4</v>
      </c>
      <c r="N2" t="s">
        <v>5</v>
      </c>
      <c r="R2" t="s">
        <v>6</v>
      </c>
      <c r="Z2" t="s">
        <v>7</v>
      </c>
      <c r="AF2" t="s">
        <v>8</v>
      </c>
      <c r="AK2" t="s">
        <v>9</v>
      </c>
      <c r="AO2" t="s">
        <v>10</v>
      </c>
      <c r="AS2" t="s">
        <v>11</v>
      </c>
      <c r="AZ2" t="s">
        <v>12</v>
      </c>
    </row>
    <row r="3" spans="1:60" ht="90" x14ac:dyDescent="0.25">
      <c r="A3" t="s">
        <v>64</v>
      </c>
      <c r="B3" s="2"/>
      <c r="C3" s="3" t="s">
        <v>13</v>
      </c>
      <c r="D3" s="3" t="s">
        <v>14</v>
      </c>
      <c r="E3" s="3" t="s">
        <v>15</v>
      </c>
      <c r="F3" s="3" t="s">
        <v>16</v>
      </c>
      <c r="G3" s="3" t="s">
        <v>17</v>
      </c>
      <c r="H3" s="3" t="s">
        <v>18</v>
      </c>
      <c r="I3" s="3" t="s">
        <v>19</v>
      </c>
      <c r="J3" s="3" t="s">
        <v>20</v>
      </c>
      <c r="K3" s="3" t="s">
        <v>21</v>
      </c>
      <c r="L3" s="3" t="s">
        <v>22</v>
      </c>
      <c r="M3" s="3" t="s">
        <v>23</v>
      </c>
      <c r="N3" s="3" t="s">
        <v>24</v>
      </c>
      <c r="O3" s="4" t="s">
        <v>25</v>
      </c>
      <c r="P3" s="3" t="s">
        <v>26</v>
      </c>
      <c r="Q3" s="3" t="s">
        <v>27</v>
      </c>
      <c r="R3" s="3" t="s">
        <v>28</v>
      </c>
      <c r="S3" s="3" t="s">
        <v>29</v>
      </c>
      <c r="T3" s="3" t="s">
        <v>30</v>
      </c>
      <c r="U3" s="3" t="s">
        <v>31</v>
      </c>
      <c r="V3" s="3" t="s">
        <v>32</v>
      </c>
      <c r="W3" s="3" t="s">
        <v>33</v>
      </c>
      <c r="X3" s="3" t="s">
        <v>34</v>
      </c>
      <c r="Y3" s="3" t="s">
        <v>35</v>
      </c>
      <c r="Z3" s="3" t="s">
        <v>36</v>
      </c>
      <c r="AA3" s="3" t="s">
        <v>37</v>
      </c>
      <c r="AB3" s="3" t="s">
        <v>38</v>
      </c>
      <c r="AC3" s="3" t="s">
        <v>39</v>
      </c>
      <c r="AD3" s="3" t="s">
        <v>40</v>
      </c>
      <c r="AE3" s="5" t="s">
        <v>41</v>
      </c>
      <c r="AF3" s="5" t="s">
        <v>42</v>
      </c>
      <c r="AG3" s="3" t="s">
        <v>39</v>
      </c>
      <c r="AH3" s="3" t="s">
        <v>40</v>
      </c>
      <c r="AI3" s="3" t="s">
        <v>43</v>
      </c>
      <c r="AJ3" s="3" t="s">
        <v>44</v>
      </c>
      <c r="AK3" s="3" t="s">
        <v>45</v>
      </c>
      <c r="AL3" s="3" t="s">
        <v>46</v>
      </c>
      <c r="AM3" s="3" t="s">
        <v>47</v>
      </c>
      <c r="AN3" s="3" t="s">
        <v>48</v>
      </c>
      <c r="AO3" s="6" t="s">
        <v>49</v>
      </c>
      <c r="AP3" s="6" t="s">
        <v>50</v>
      </c>
      <c r="AQ3" s="6" t="s">
        <v>51</v>
      </c>
      <c r="AR3" s="6" t="s">
        <v>52</v>
      </c>
      <c r="AS3" s="6" t="s">
        <v>53</v>
      </c>
      <c r="AT3" s="6" t="s">
        <v>54</v>
      </c>
      <c r="AU3" s="6" t="s">
        <v>55</v>
      </c>
      <c r="AV3" s="6" t="s">
        <v>56</v>
      </c>
      <c r="AW3" s="6" t="s">
        <v>57</v>
      </c>
      <c r="AX3" s="6" t="s">
        <v>58</v>
      </c>
      <c r="AY3" s="6" t="s">
        <v>59</v>
      </c>
      <c r="AZ3" s="6" t="s">
        <v>60</v>
      </c>
      <c r="BA3" s="6" t="s">
        <v>61</v>
      </c>
      <c r="BB3" s="6" t="s">
        <v>62</v>
      </c>
      <c r="BC3" s="6" t="s">
        <v>63</v>
      </c>
      <c r="BD3" s="37" t="s">
        <v>240</v>
      </c>
      <c r="BE3" s="38" t="s">
        <v>241</v>
      </c>
      <c r="BF3" s="38" t="s">
        <v>242</v>
      </c>
      <c r="BG3" s="38" t="s">
        <v>243</v>
      </c>
      <c r="BH3" s="38" t="s">
        <v>244</v>
      </c>
    </row>
    <row r="4" spans="1:60" s="3" customFormat="1" ht="30" x14ac:dyDescent="0.25">
      <c r="A4" s="3" t="s">
        <v>222</v>
      </c>
      <c r="B4" s="3">
        <v>0</v>
      </c>
      <c r="C4" s="20" t="s">
        <v>0</v>
      </c>
      <c r="D4" s="20" t="s">
        <v>1</v>
      </c>
      <c r="E4" s="20" t="s">
        <v>2</v>
      </c>
      <c r="F4" s="20" t="s">
        <v>3</v>
      </c>
      <c r="G4" s="3" t="s">
        <v>91</v>
      </c>
      <c r="H4" s="3" t="s">
        <v>92</v>
      </c>
      <c r="I4" s="3" t="s">
        <v>93</v>
      </c>
      <c r="J4" s="3" t="s">
        <v>94</v>
      </c>
      <c r="K4" s="3" t="s">
        <v>95</v>
      </c>
      <c r="L4" s="3" t="s">
        <v>96</v>
      </c>
      <c r="M4" s="3" t="s">
        <v>97</v>
      </c>
      <c r="N4" s="3" t="s">
        <v>55</v>
      </c>
      <c r="O4" s="3" t="s">
        <v>56</v>
      </c>
      <c r="P4" s="3" t="s">
        <v>57</v>
      </c>
      <c r="Q4" s="3" t="s">
        <v>58</v>
      </c>
      <c r="R4" s="3" t="s">
        <v>103</v>
      </c>
      <c r="S4" s="3" t="s">
        <v>104</v>
      </c>
      <c r="T4" s="3" t="s">
        <v>105</v>
      </c>
      <c r="U4" s="3" t="s">
        <v>106</v>
      </c>
      <c r="V4" s="3" t="s">
        <v>107</v>
      </c>
      <c r="W4" s="3" t="s">
        <v>108</v>
      </c>
      <c r="X4" s="3" t="s">
        <v>109</v>
      </c>
      <c r="Y4" s="3" t="s">
        <v>110</v>
      </c>
      <c r="Z4" s="3" t="s">
        <v>111</v>
      </c>
      <c r="AA4" s="3" t="s">
        <v>112</v>
      </c>
      <c r="AB4" s="3" t="s">
        <v>113</v>
      </c>
      <c r="AC4" s="3" t="s">
        <v>114</v>
      </c>
      <c r="AD4" s="3" t="s">
        <v>115</v>
      </c>
      <c r="AE4" s="3" t="s">
        <v>116</v>
      </c>
      <c r="AF4" s="3" t="s">
        <v>117</v>
      </c>
      <c r="AG4" s="3" t="s">
        <v>118</v>
      </c>
      <c r="AH4" s="3" t="s">
        <v>119</v>
      </c>
      <c r="AI4" s="3" t="s">
        <v>120</v>
      </c>
      <c r="AJ4" s="3" t="s">
        <v>121</v>
      </c>
      <c r="AK4" s="3" t="s">
        <v>122</v>
      </c>
      <c r="AL4" s="3" t="s">
        <v>123</v>
      </c>
      <c r="AM4" s="3" t="s">
        <v>124</v>
      </c>
      <c r="AN4" s="3" t="s">
        <v>125</v>
      </c>
      <c r="AO4" s="3" t="s">
        <v>126</v>
      </c>
      <c r="AP4" s="3" t="s">
        <v>127</v>
      </c>
      <c r="AQ4" s="3" t="s">
        <v>128</v>
      </c>
      <c r="AR4" s="3" t="s">
        <v>129</v>
      </c>
      <c r="AS4" s="3" t="s">
        <v>130</v>
      </c>
      <c r="AT4" s="3" t="s">
        <v>131</v>
      </c>
      <c r="AU4" s="3" t="s">
        <v>132</v>
      </c>
      <c r="AV4" s="3" t="s">
        <v>133</v>
      </c>
      <c r="AW4" s="3" t="s">
        <v>134</v>
      </c>
      <c r="AX4" s="3" t="s">
        <v>135</v>
      </c>
      <c r="AY4" s="3" t="s">
        <v>136</v>
      </c>
      <c r="AZ4" s="3" t="s">
        <v>137</v>
      </c>
      <c r="BA4" s="3" t="s">
        <v>138</v>
      </c>
      <c r="BB4" s="3" t="s">
        <v>139</v>
      </c>
      <c r="BC4" s="3" t="s">
        <v>140</v>
      </c>
      <c r="BD4" s="3" t="s">
        <v>245</v>
      </c>
      <c r="BE4" s="3" t="s">
        <v>246</v>
      </c>
      <c r="BF4" s="3" t="s">
        <v>247</v>
      </c>
      <c r="BG4" s="3" t="s">
        <v>248</v>
      </c>
      <c r="BH4" s="3" t="s">
        <v>249</v>
      </c>
    </row>
    <row r="5" spans="1:60" x14ac:dyDescent="0.25">
      <c r="A5" t="s">
        <v>65</v>
      </c>
      <c r="B5" t="s">
        <v>223</v>
      </c>
      <c r="C5" s="20">
        <v>77.214984468038978</v>
      </c>
      <c r="D5" s="20">
        <v>132.80972798391019</v>
      </c>
      <c r="E5" s="20">
        <v>67.645664969979578</v>
      </c>
      <c r="F5" s="20">
        <v>113.36478215503941</v>
      </c>
      <c r="G5" s="20">
        <v>51.453010530351605</v>
      </c>
      <c r="H5" s="20">
        <v>50.667272732620511</v>
      </c>
      <c r="I5" s="20">
        <v>49.950619063776806</v>
      </c>
      <c r="J5" s="20">
        <v>92.968834259884432</v>
      </c>
      <c r="K5" s="20">
        <v>90.318407189717178</v>
      </c>
      <c r="L5" s="20">
        <v>94.459651699928543</v>
      </c>
      <c r="M5" s="20">
        <v>88.029931045316005</v>
      </c>
      <c r="N5" s="20">
        <v>23.174716346490182</v>
      </c>
      <c r="O5" s="20">
        <v>21.434247888882211</v>
      </c>
      <c r="P5" s="20">
        <v>33.109222433971169</v>
      </c>
      <c r="Q5" s="20">
        <v>37.483260458975209</v>
      </c>
      <c r="R5" s="20">
        <v>0</v>
      </c>
      <c r="S5" s="20">
        <v>0</v>
      </c>
      <c r="T5" s="20">
        <v>0</v>
      </c>
      <c r="U5" s="20">
        <v>0</v>
      </c>
      <c r="V5" s="20">
        <v>0</v>
      </c>
      <c r="W5" s="20">
        <v>0</v>
      </c>
      <c r="X5" s="20">
        <v>0</v>
      </c>
      <c r="Y5" s="20">
        <v>0</v>
      </c>
      <c r="Z5" s="20">
        <v>0</v>
      </c>
      <c r="AA5" s="20">
        <v>0</v>
      </c>
      <c r="AB5" s="20">
        <v>0</v>
      </c>
      <c r="AC5" s="20">
        <v>0</v>
      </c>
      <c r="AD5" s="20">
        <v>0</v>
      </c>
      <c r="AE5" s="20">
        <v>0</v>
      </c>
      <c r="AF5" s="20">
        <v>0</v>
      </c>
      <c r="AG5" s="20">
        <v>0</v>
      </c>
      <c r="AH5" s="20">
        <v>0</v>
      </c>
      <c r="AI5" s="20">
        <v>0</v>
      </c>
      <c r="AJ5" s="20">
        <v>0</v>
      </c>
      <c r="AK5" s="20">
        <v>0</v>
      </c>
      <c r="AL5" s="20">
        <v>0</v>
      </c>
      <c r="AM5" s="20">
        <v>0</v>
      </c>
      <c r="AN5" s="20">
        <v>0</v>
      </c>
      <c r="AO5" s="20">
        <v>0</v>
      </c>
      <c r="AP5" s="20">
        <v>0</v>
      </c>
      <c r="AQ5" s="20">
        <v>0</v>
      </c>
      <c r="AR5" s="20">
        <v>0</v>
      </c>
      <c r="AS5" s="20">
        <v>0</v>
      </c>
      <c r="AT5" s="20">
        <v>0</v>
      </c>
      <c r="AU5" s="20">
        <v>0</v>
      </c>
      <c r="AV5" s="20">
        <v>0</v>
      </c>
      <c r="AW5" s="20">
        <v>0</v>
      </c>
      <c r="AX5" s="20">
        <v>0</v>
      </c>
      <c r="AY5" s="20">
        <v>0</v>
      </c>
      <c r="AZ5" s="20">
        <v>0</v>
      </c>
      <c r="BA5" s="20">
        <v>0</v>
      </c>
      <c r="BB5" s="20">
        <v>0</v>
      </c>
      <c r="BC5" s="20">
        <v>0</v>
      </c>
      <c r="BD5" s="20">
        <v>0</v>
      </c>
      <c r="BE5">
        <v>0</v>
      </c>
      <c r="BF5">
        <v>0</v>
      </c>
      <c r="BG5">
        <v>0</v>
      </c>
      <c r="BH5">
        <v>0</v>
      </c>
    </row>
    <row r="6" spans="1:60" x14ac:dyDescent="0.25">
      <c r="A6" t="s">
        <v>66</v>
      </c>
      <c r="B6" t="s">
        <v>224</v>
      </c>
      <c r="C6" s="20">
        <v>8.9660505857192909</v>
      </c>
      <c r="D6" s="20">
        <v>18.466297403082347</v>
      </c>
      <c r="E6" s="20">
        <v>6.6271817908541593</v>
      </c>
      <c r="F6" s="20">
        <v>12.991518057071684</v>
      </c>
      <c r="G6" s="20">
        <v>5.8826531201912449</v>
      </c>
      <c r="H6" s="20">
        <v>5.8826531201912449</v>
      </c>
      <c r="I6" s="20">
        <v>5.8826531201912449</v>
      </c>
      <c r="J6" s="20">
        <v>11.411996649459066</v>
      </c>
      <c r="K6" s="20">
        <v>11.411996649459066</v>
      </c>
      <c r="L6" s="20">
        <v>11.411996649459066</v>
      </c>
      <c r="M6" s="20">
        <v>11.411996649459066</v>
      </c>
      <c r="N6" s="20">
        <v>0</v>
      </c>
      <c r="O6" s="20">
        <v>0</v>
      </c>
      <c r="P6" s="20">
        <v>0</v>
      </c>
      <c r="Q6" s="20">
        <v>0</v>
      </c>
      <c r="R6" s="20">
        <v>0</v>
      </c>
      <c r="S6" s="20">
        <v>0</v>
      </c>
      <c r="T6" s="20">
        <v>0</v>
      </c>
      <c r="U6" s="20">
        <v>0</v>
      </c>
      <c r="V6" s="20">
        <v>0</v>
      </c>
      <c r="W6" s="20">
        <v>0</v>
      </c>
      <c r="X6" s="20">
        <v>0</v>
      </c>
      <c r="Y6" s="20">
        <v>0</v>
      </c>
      <c r="Z6" s="20">
        <v>0</v>
      </c>
      <c r="AA6" s="20">
        <v>0</v>
      </c>
      <c r="AB6" s="20">
        <v>0</v>
      </c>
      <c r="AC6" s="20">
        <v>0</v>
      </c>
      <c r="AD6" s="20">
        <v>0</v>
      </c>
      <c r="AE6" s="20">
        <v>0</v>
      </c>
      <c r="AF6" s="20">
        <v>0</v>
      </c>
      <c r="AG6" s="20">
        <v>0</v>
      </c>
      <c r="AH6" s="20">
        <v>0</v>
      </c>
      <c r="AI6" s="20">
        <v>0</v>
      </c>
      <c r="AJ6" s="20">
        <v>0</v>
      </c>
      <c r="AK6" s="20">
        <v>0</v>
      </c>
      <c r="AL6" s="20">
        <v>0</v>
      </c>
      <c r="AM6" s="20">
        <v>0</v>
      </c>
      <c r="AN6" s="20">
        <v>0</v>
      </c>
      <c r="AO6" s="20">
        <v>0</v>
      </c>
      <c r="AP6" s="20">
        <v>0</v>
      </c>
      <c r="AQ6" s="20">
        <v>0</v>
      </c>
      <c r="AR6" s="20">
        <v>0</v>
      </c>
      <c r="AS6" s="20">
        <v>0</v>
      </c>
      <c r="AT6" s="20">
        <v>0</v>
      </c>
      <c r="AU6" s="20">
        <v>0</v>
      </c>
      <c r="AV6" s="20">
        <v>0</v>
      </c>
      <c r="AW6" s="20">
        <v>0</v>
      </c>
      <c r="AX6" s="20">
        <v>0</v>
      </c>
      <c r="AY6" s="20">
        <v>0</v>
      </c>
      <c r="AZ6" s="20">
        <v>0</v>
      </c>
      <c r="BA6" s="20">
        <v>0</v>
      </c>
      <c r="BB6" s="20">
        <v>0</v>
      </c>
      <c r="BC6" s="20">
        <v>0</v>
      </c>
      <c r="BD6" s="20">
        <v>0</v>
      </c>
      <c r="BE6">
        <v>0</v>
      </c>
      <c r="BF6">
        <v>0</v>
      </c>
      <c r="BG6">
        <v>0</v>
      </c>
      <c r="BH6">
        <v>0</v>
      </c>
    </row>
    <row r="7" spans="1:60" x14ac:dyDescent="0.25">
      <c r="A7" t="s">
        <v>67</v>
      </c>
      <c r="B7">
        <v>0</v>
      </c>
      <c r="C7" s="20">
        <v>0</v>
      </c>
      <c r="D7" s="20">
        <v>0</v>
      </c>
      <c r="E7" s="20">
        <v>0</v>
      </c>
      <c r="F7" s="20">
        <v>0</v>
      </c>
      <c r="G7" s="20">
        <v>0</v>
      </c>
      <c r="H7" s="20">
        <v>0</v>
      </c>
      <c r="I7" s="20">
        <v>0</v>
      </c>
      <c r="J7" s="20">
        <v>0</v>
      </c>
      <c r="K7" s="20">
        <v>0</v>
      </c>
      <c r="L7" s="20">
        <v>0</v>
      </c>
      <c r="M7" s="20">
        <v>0</v>
      </c>
      <c r="N7" s="20">
        <v>0</v>
      </c>
      <c r="O7" s="20">
        <v>0</v>
      </c>
      <c r="P7" s="20">
        <v>0</v>
      </c>
      <c r="Q7" s="20">
        <v>0</v>
      </c>
      <c r="R7" s="20">
        <v>0</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c r="AX7" s="20">
        <v>0</v>
      </c>
      <c r="AY7" s="20">
        <v>0</v>
      </c>
      <c r="AZ7" s="20">
        <v>0</v>
      </c>
      <c r="BA7" s="20">
        <v>0</v>
      </c>
      <c r="BB7" s="20">
        <v>0</v>
      </c>
      <c r="BC7" s="20">
        <v>0</v>
      </c>
      <c r="BD7" s="20">
        <v>0</v>
      </c>
      <c r="BE7">
        <v>0</v>
      </c>
      <c r="BF7">
        <v>0</v>
      </c>
      <c r="BG7">
        <v>0</v>
      </c>
      <c r="BH7">
        <v>0</v>
      </c>
    </row>
    <row r="8" spans="1:60" x14ac:dyDescent="0.25">
      <c r="A8" t="s">
        <v>68</v>
      </c>
      <c r="B8" t="s">
        <v>225</v>
      </c>
      <c r="C8" s="20">
        <v>14.985907861917807</v>
      </c>
      <c r="D8" s="20">
        <v>29.971815723835615</v>
      </c>
      <c r="E8" s="20">
        <v>9.5171893144520556</v>
      </c>
      <c r="F8" s="20">
        <v>19.034378628904111</v>
      </c>
      <c r="G8" s="20">
        <v>15.697127222017148</v>
      </c>
      <c r="H8" s="20">
        <v>15.697127222017148</v>
      </c>
      <c r="I8" s="20">
        <v>15.697127222017148</v>
      </c>
      <c r="J8" s="20">
        <v>27.363729007119129</v>
      </c>
      <c r="K8" s="20">
        <v>27.363729007119129</v>
      </c>
      <c r="L8" s="20">
        <v>27.363729007119129</v>
      </c>
      <c r="M8" s="20">
        <v>27.363729007119129</v>
      </c>
      <c r="N8" s="20">
        <v>11.139187356332263</v>
      </c>
      <c r="O8" s="20">
        <v>13.390537286605749</v>
      </c>
      <c r="P8" s="20">
        <v>12.407930503983454</v>
      </c>
      <c r="Q8" s="20">
        <v>18.06203424567456</v>
      </c>
      <c r="R8" s="20">
        <v>0</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c r="AX8" s="20">
        <v>0</v>
      </c>
      <c r="AY8" s="20">
        <v>0</v>
      </c>
      <c r="AZ8" s="20">
        <v>0</v>
      </c>
      <c r="BA8" s="20">
        <v>0</v>
      </c>
      <c r="BB8" s="20">
        <v>0</v>
      </c>
      <c r="BC8" s="20">
        <v>0</v>
      </c>
      <c r="BD8" s="20">
        <v>0</v>
      </c>
      <c r="BE8">
        <v>0</v>
      </c>
      <c r="BF8">
        <v>0</v>
      </c>
      <c r="BG8">
        <v>0</v>
      </c>
      <c r="BH8">
        <v>0</v>
      </c>
    </row>
    <row r="9" spans="1:60" x14ac:dyDescent="0.25">
      <c r="A9" t="s">
        <v>69</v>
      </c>
      <c r="B9" t="s">
        <v>226</v>
      </c>
      <c r="C9" s="20">
        <v>8.0627536334231795</v>
      </c>
      <c r="D9" s="20">
        <v>8.0627536334231795</v>
      </c>
      <c r="E9" s="20">
        <v>8.0627536334231795</v>
      </c>
      <c r="F9" s="20">
        <v>9.5085785983827478</v>
      </c>
      <c r="G9" s="20">
        <v>11.922694497153699</v>
      </c>
      <c r="H9" s="20">
        <v>12.54056925996205</v>
      </c>
      <c r="I9" s="20">
        <v>12.54056925996205</v>
      </c>
      <c r="J9" s="20">
        <v>11.922694497153699</v>
      </c>
      <c r="K9" s="20">
        <v>12.54056925996205</v>
      </c>
      <c r="L9" s="20">
        <v>12.54056925996205</v>
      </c>
      <c r="M9" s="20">
        <v>12.54056925996205</v>
      </c>
      <c r="N9" s="20">
        <v>0</v>
      </c>
      <c r="O9" s="20">
        <v>0</v>
      </c>
      <c r="P9" s="20">
        <v>0</v>
      </c>
      <c r="Q9" s="20">
        <v>0</v>
      </c>
      <c r="R9" s="20">
        <v>0</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c r="AX9" s="20">
        <v>0</v>
      </c>
      <c r="AY9" s="20">
        <v>0</v>
      </c>
      <c r="AZ9" s="20">
        <v>0</v>
      </c>
      <c r="BA9" s="20">
        <v>0</v>
      </c>
      <c r="BB9" s="20">
        <v>0</v>
      </c>
      <c r="BC9" s="20">
        <v>0</v>
      </c>
      <c r="BD9" s="20">
        <v>0</v>
      </c>
      <c r="BE9">
        <v>0</v>
      </c>
      <c r="BF9">
        <v>0</v>
      </c>
      <c r="BG9">
        <v>0</v>
      </c>
      <c r="BH9">
        <v>0</v>
      </c>
    </row>
    <row r="10" spans="1:60" x14ac:dyDescent="0.25">
      <c r="A10" t="s">
        <v>70</v>
      </c>
      <c r="B10" t="s">
        <v>227</v>
      </c>
      <c r="C10" s="20">
        <v>20.683399999999995</v>
      </c>
      <c r="D10" s="20">
        <v>27.577866666666662</v>
      </c>
      <c r="E10" s="20">
        <v>20.683399999999995</v>
      </c>
      <c r="F10" s="20">
        <v>27.577866666666662</v>
      </c>
      <c r="G10" s="20">
        <v>24.130633333333332</v>
      </c>
      <c r="H10" s="20">
        <v>24.130633333333332</v>
      </c>
      <c r="I10" s="20">
        <v>24.130633333333332</v>
      </c>
      <c r="J10" s="20">
        <v>32.174177777777778</v>
      </c>
      <c r="K10" s="20">
        <v>32.174177777777778</v>
      </c>
      <c r="L10" s="20">
        <v>32.174177777777778</v>
      </c>
      <c r="M10" s="20">
        <v>32.174177777777778</v>
      </c>
      <c r="N10" s="20">
        <v>0</v>
      </c>
      <c r="O10" s="20">
        <v>0</v>
      </c>
      <c r="P10" s="20">
        <v>0</v>
      </c>
      <c r="Q10" s="20">
        <v>0</v>
      </c>
      <c r="R10" s="20">
        <v>0</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c r="AX10" s="20">
        <v>0</v>
      </c>
      <c r="AY10" s="20">
        <v>0</v>
      </c>
      <c r="AZ10" s="20">
        <v>0</v>
      </c>
      <c r="BA10" s="20">
        <v>0</v>
      </c>
      <c r="BB10" s="20">
        <v>0</v>
      </c>
      <c r="BC10" s="20">
        <v>0</v>
      </c>
      <c r="BD10" s="20">
        <v>0</v>
      </c>
      <c r="BE10">
        <v>0</v>
      </c>
      <c r="BF10">
        <v>0</v>
      </c>
      <c r="BG10">
        <v>0</v>
      </c>
      <c r="BH10">
        <v>0</v>
      </c>
    </row>
    <row r="11" spans="1:60" x14ac:dyDescent="0.25">
      <c r="A11" t="s">
        <v>71</v>
      </c>
      <c r="B11" t="s">
        <v>228</v>
      </c>
      <c r="C11" s="20">
        <v>1.7450245541483591</v>
      </c>
      <c r="D11" s="20">
        <v>1.7450245541483591</v>
      </c>
      <c r="E11" s="20">
        <v>1.7341690359265962</v>
      </c>
      <c r="F11" s="20">
        <v>1.9892737141380203</v>
      </c>
      <c r="G11" s="20">
        <v>1.678161178939767</v>
      </c>
      <c r="H11" s="20">
        <v>1.7255534743066059</v>
      </c>
      <c r="I11" s="20">
        <v>1.9295773058608476</v>
      </c>
      <c r="J11" s="20">
        <v>1.7336101645189685</v>
      </c>
      <c r="K11" s="20">
        <v>1.9295773058608476</v>
      </c>
      <c r="L11" s="20">
        <v>1.9295773058608476</v>
      </c>
      <c r="M11" s="20">
        <v>1.9295773058608476</v>
      </c>
      <c r="N11" s="20">
        <v>0</v>
      </c>
      <c r="O11" s="20">
        <v>0</v>
      </c>
      <c r="P11" s="20">
        <v>0</v>
      </c>
      <c r="Q11" s="20">
        <v>0</v>
      </c>
      <c r="R11" s="20">
        <v>0</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c r="AX11" s="20">
        <v>0</v>
      </c>
      <c r="AY11" s="20">
        <v>0</v>
      </c>
      <c r="AZ11" s="20">
        <v>0</v>
      </c>
      <c r="BA11" s="20">
        <v>0</v>
      </c>
      <c r="BB11" s="20">
        <v>0</v>
      </c>
      <c r="BC11" s="20">
        <v>0</v>
      </c>
      <c r="BD11" s="20">
        <v>0</v>
      </c>
      <c r="BE11">
        <v>0</v>
      </c>
      <c r="BF11">
        <v>0</v>
      </c>
      <c r="BG11">
        <v>0</v>
      </c>
      <c r="BH11">
        <v>0</v>
      </c>
    </row>
    <row r="12" spans="1:60" x14ac:dyDescent="0.25">
      <c r="A12" t="s">
        <v>72</v>
      </c>
      <c r="B12" t="s">
        <v>229</v>
      </c>
      <c r="C12" s="20">
        <v>40.152674943835613</v>
      </c>
      <c r="D12" s="20">
        <v>48.681451032602745</v>
      </c>
      <c r="E12" s="20">
        <v>32.772354395890417</v>
      </c>
      <c r="F12" s="20">
        <v>43.444146923013705</v>
      </c>
      <c r="G12" s="20">
        <v>49.607166469863024</v>
      </c>
      <c r="H12" s="20">
        <v>58.640336710410963</v>
      </c>
      <c r="I12" s="20">
        <v>61.946403210136992</v>
      </c>
      <c r="J12" s="20">
        <v>55.826490135068504</v>
      </c>
      <c r="K12" s="20">
        <v>61.946403210136992</v>
      </c>
      <c r="L12" s="20">
        <v>65.053286148219186</v>
      </c>
      <c r="M12" s="20">
        <v>68.025327990410972</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0">
        <v>0</v>
      </c>
      <c r="AE12" s="20">
        <v>0</v>
      </c>
      <c r="AF12" s="20">
        <v>0</v>
      </c>
      <c r="AG12" s="20">
        <v>0</v>
      </c>
      <c r="AH12" s="20">
        <v>0</v>
      </c>
      <c r="AI12" s="20">
        <v>0</v>
      </c>
      <c r="AJ12" s="20">
        <v>0</v>
      </c>
      <c r="AK12" s="20">
        <v>0</v>
      </c>
      <c r="AL12" s="20">
        <v>0</v>
      </c>
      <c r="AM12" s="20">
        <v>0</v>
      </c>
      <c r="AN12" s="20">
        <v>0</v>
      </c>
      <c r="AO12" s="20">
        <v>0</v>
      </c>
      <c r="AP12" s="20">
        <v>0</v>
      </c>
      <c r="AQ12" s="20">
        <v>0</v>
      </c>
      <c r="AR12" s="20">
        <v>0</v>
      </c>
      <c r="AS12" s="20">
        <v>0</v>
      </c>
      <c r="AT12" s="20">
        <v>0</v>
      </c>
      <c r="AU12" s="20">
        <v>0</v>
      </c>
      <c r="AV12" s="20">
        <v>0</v>
      </c>
      <c r="AW12" s="20">
        <v>0</v>
      </c>
      <c r="AX12" s="20">
        <v>0</v>
      </c>
      <c r="AY12" s="20">
        <v>0</v>
      </c>
      <c r="AZ12" s="20">
        <v>0</v>
      </c>
      <c r="BA12" s="20">
        <v>0</v>
      </c>
      <c r="BB12" s="20">
        <v>0</v>
      </c>
      <c r="BC12" s="20">
        <v>0</v>
      </c>
      <c r="BD12" s="20">
        <v>0</v>
      </c>
      <c r="BE12">
        <v>0</v>
      </c>
      <c r="BF12">
        <v>0</v>
      </c>
      <c r="BG12">
        <v>0</v>
      </c>
      <c r="BH12">
        <v>0</v>
      </c>
    </row>
    <row r="13" spans="1:60" x14ac:dyDescent="0.25">
      <c r="A13" t="s">
        <v>73</v>
      </c>
      <c r="B13" t="s">
        <v>230</v>
      </c>
      <c r="C13" s="20">
        <v>2.0144754201447532</v>
      </c>
      <c r="D13" s="20">
        <v>2.0144754201447719</v>
      </c>
      <c r="E13" s="20">
        <v>2.0144754201447719</v>
      </c>
      <c r="F13" s="20">
        <v>2.0144754201447497</v>
      </c>
      <c r="G13" s="20">
        <v>2.1941982272361193</v>
      </c>
      <c r="H13" s="20">
        <v>2.1941982272361029</v>
      </c>
      <c r="I13" s="20">
        <v>2.1941982272361193</v>
      </c>
      <c r="J13" s="20">
        <v>2.1941982272361029</v>
      </c>
      <c r="K13" s="20">
        <v>2.1941982272361193</v>
      </c>
      <c r="L13" s="20">
        <v>2.1941982272361029</v>
      </c>
      <c r="M13" s="20">
        <v>2.1941982272361029</v>
      </c>
      <c r="N13" s="20">
        <v>0</v>
      </c>
      <c r="O13" s="20">
        <v>0</v>
      </c>
      <c r="P13" s="20">
        <v>0</v>
      </c>
      <c r="Q13" s="20">
        <v>0</v>
      </c>
      <c r="R13" s="20">
        <v>0</v>
      </c>
      <c r="S13" s="20">
        <v>0</v>
      </c>
      <c r="T13" s="20">
        <v>0</v>
      </c>
      <c r="U13" s="20">
        <v>0</v>
      </c>
      <c r="V13" s="20">
        <v>0</v>
      </c>
      <c r="W13" s="20">
        <v>0</v>
      </c>
      <c r="X13" s="20">
        <v>0</v>
      </c>
      <c r="Y13" s="20">
        <v>0</v>
      </c>
      <c r="Z13" s="20">
        <v>0</v>
      </c>
      <c r="AA13" s="20">
        <v>0</v>
      </c>
      <c r="AB13" s="20">
        <v>0</v>
      </c>
      <c r="AC13" s="20">
        <v>0</v>
      </c>
      <c r="AD13" s="20">
        <v>0</v>
      </c>
      <c r="AE13" s="20">
        <v>0</v>
      </c>
      <c r="AF13" s="20">
        <v>0</v>
      </c>
      <c r="AG13" s="20">
        <v>0</v>
      </c>
      <c r="AH13" s="20">
        <v>0</v>
      </c>
      <c r="AI13" s="20">
        <v>0</v>
      </c>
      <c r="AJ13" s="20">
        <v>0</v>
      </c>
      <c r="AK13" s="20">
        <v>0</v>
      </c>
      <c r="AL13" s="20">
        <v>0</v>
      </c>
      <c r="AM13" s="20">
        <v>0</v>
      </c>
      <c r="AN13" s="20">
        <v>0</v>
      </c>
      <c r="AO13" s="20">
        <v>0</v>
      </c>
      <c r="AP13" s="20">
        <v>0</v>
      </c>
      <c r="AQ13" s="20">
        <v>0</v>
      </c>
      <c r="AR13" s="20">
        <v>0</v>
      </c>
      <c r="AS13" s="20">
        <v>0</v>
      </c>
      <c r="AT13" s="20">
        <v>0</v>
      </c>
      <c r="AU13" s="20">
        <v>0</v>
      </c>
      <c r="AV13" s="20">
        <v>0</v>
      </c>
      <c r="AW13" s="20">
        <v>0</v>
      </c>
      <c r="AX13" s="20">
        <v>0</v>
      </c>
      <c r="AY13" s="20">
        <v>0</v>
      </c>
      <c r="AZ13" s="20">
        <v>0</v>
      </c>
      <c r="BA13" s="20">
        <v>0</v>
      </c>
      <c r="BB13" s="20">
        <v>0</v>
      </c>
      <c r="BC13" s="20">
        <v>0</v>
      </c>
      <c r="BD13" s="20">
        <v>0</v>
      </c>
      <c r="BE13">
        <v>0</v>
      </c>
      <c r="BF13">
        <v>0</v>
      </c>
      <c r="BG13">
        <v>0</v>
      </c>
      <c r="BH13">
        <v>0</v>
      </c>
    </row>
    <row r="14" spans="1:60" x14ac:dyDescent="0.25">
      <c r="A14" t="s">
        <v>74</v>
      </c>
      <c r="B14" t="s">
        <v>231</v>
      </c>
      <c r="C14" s="20">
        <v>15.834541678796384</v>
      </c>
      <c r="D14" s="20">
        <v>17.049870076841657</v>
      </c>
      <c r="E14" s="20">
        <v>21.212558492057241</v>
      </c>
      <c r="F14" s="20">
        <v>24.429461567651487</v>
      </c>
      <c r="G14" s="20">
        <v>25.175778218084563</v>
      </c>
      <c r="H14" s="20">
        <v>27.098545188095329</v>
      </c>
      <c r="I14" s="20">
        <v>27.268900706849529</v>
      </c>
      <c r="J14" s="20">
        <v>25.929501802938582</v>
      </c>
      <c r="K14" s="20">
        <v>28.126589233880217</v>
      </c>
      <c r="L14" s="20">
        <v>28.296944752634417</v>
      </c>
      <c r="M14" s="20">
        <v>29.076717413666184</v>
      </c>
      <c r="N14" s="20">
        <v>4.122679936318665</v>
      </c>
      <c r="O14" s="20">
        <v>2.3761079233533446</v>
      </c>
      <c r="P14" s="20">
        <v>2.8863307144627437</v>
      </c>
      <c r="Q14" s="20">
        <v>4.1306543325342524</v>
      </c>
      <c r="R14" s="20">
        <v>0</v>
      </c>
      <c r="S14" s="20">
        <v>0</v>
      </c>
      <c r="T14" s="20">
        <v>0</v>
      </c>
      <c r="U14" s="20">
        <v>0</v>
      </c>
      <c r="V14" s="20">
        <v>0</v>
      </c>
      <c r="W14" s="20">
        <v>0</v>
      </c>
      <c r="X14" s="20">
        <v>0</v>
      </c>
      <c r="Y14" s="20">
        <v>0</v>
      </c>
      <c r="Z14" s="20">
        <v>0.37155333390804135</v>
      </c>
      <c r="AA14" s="20">
        <v>0.20981061908861412</v>
      </c>
      <c r="AB14" s="20">
        <v>2.765499223273549E-2</v>
      </c>
      <c r="AC14" s="20">
        <v>0.45757058606196299</v>
      </c>
      <c r="AD14" s="20">
        <v>0</v>
      </c>
      <c r="AE14" s="20">
        <v>0</v>
      </c>
      <c r="AF14" s="20">
        <v>0</v>
      </c>
      <c r="AG14" s="20">
        <v>0</v>
      </c>
      <c r="AH14" s="20">
        <v>0</v>
      </c>
      <c r="AI14" s="20">
        <v>0</v>
      </c>
      <c r="AJ14" s="20">
        <v>0</v>
      </c>
      <c r="AK14" s="20">
        <v>0</v>
      </c>
      <c r="AL14" s="20">
        <v>0</v>
      </c>
      <c r="AM14" s="20">
        <v>0</v>
      </c>
      <c r="AN14" s="20">
        <v>0</v>
      </c>
      <c r="AO14" s="20">
        <v>0</v>
      </c>
      <c r="AP14" s="20">
        <v>0</v>
      </c>
      <c r="AQ14" s="20">
        <v>0</v>
      </c>
      <c r="AR14" s="20">
        <v>0</v>
      </c>
      <c r="AS14" s="20">
        <v>0</v>
      </c>
      <c r="AT14" s="20">
        <v>0</v>
      </c>
      <c r="AU14" s="20">
        <v>0</v>
      </c>
      <c r="AV14" s="20">
        <v>0</v>
      </c>
      <c r="AW14" s="20">
        <v>0</v>
      </c>
      <c r="AX14" s="20">
        <v>0</v>
      </c>
      <c r="AY14" s="20">
        <v>0</v>
      </c>
      <c r="AZ14" s="20">
        <v>0</v>
      </c>
      <c r="BA14" s="20">
        <v>0</v>
      </c>
      <c r="BB14" s="20">
        <v>0</v>
      </c>
      <c r="BC14" s="20">
        <v>0</v>
      </c>
      <c r="BD14" s="20">
        <v>0</v>
      </c>
      <c r="BE14">
        <v>0</v>
      </c>
      <c r="BF14">
        <v>0</v>
      </c>
      <c r="BG14">
        <v>0</v>
      </c>
      <c r="BH14">
        <v>0</v>
      </c>
    </row>
    <row r="15" spans="1:60" x14ac:dyDescent="0.25">
      <c r="A15" t="s">
        <v>75</v>
      </c>
      <c r="B15" t="s">
        <v>232</v>
      </c>
      <c r="C15" s="20">
        <v>8.9230377534475291</v>
      </c>
      <c r="D15" s="20">
        <v>12.013150729197388</v>
      </c>
      <c r="E15" s="20">
        <v>10.75890625796827</v>
      </c>
      <c r="F15" s="20">
        <v>13.241001908052384</v>
      </c>
      <c r="G15" s="20">
        <v>15.01990478016584</v>
      </c>
      <c r="H15" s="20">
        <v>15.01990478016584</v>
      </c>
      <c r="I15" s="20">
        <v>15.01990478016584</v>
      </c>
      <c r="J15" s="20">
        <v>11.965218785372629</v>
      </c>
      <c r="K15" s="20">
        <v>11.965218785372629</v>
      </c>
      <c r="L15" s="20">
        <v>11.965218785372629</v>
      </c>
      <c r="M15" s="20">
        <v>11.965218785372629</v>
      </c>
      <c r="N15" s="20">
        <v>0</v>
      </c>
      <c r="O15" s="20">
        <v>0</v>
      </c>
      <c r="P15" s="20">
        <v>0</v>
      </c>
      <c r="Q15" s="20">
        <v>2.9883015629714564</v>
      </c>
      <c r="R15" s="20">
        <v>0</v>
      </c>
      <c r="S15" s="20">
        <v>0</v>
      </c>
      <c r="T15" s="20">
        <v>0</v>
      </c>
      <c r="U15" s="20">
        <v>0</v>
      </c>
      <c r="V15" s="20">
        <v>0</v>
      </c>
      <c r="W15" s="20">
        <v>0</v>
      </c>
      <c r="X15" s="20">
        <v>0</v>
      </c>
      <c r="Y15" s="20">
        <v>0</v>
      </c>
      <c r="Z15" s="20">
        <v>0</v>
      </c>
      <c r="AA15" s="20">
        <v>0</v>
      </c>
      <c r="AB15" s="20">
        <v>0</v>
      </c>
      <c r="AC15" s="20">
        <v>0</v>
      </c>
      <c r="AD15" s="20">
        <v>0</v>
      </c>
      <c r="AE15" s="20">
        <v>0</v>
      </c>
      <c r="AF15" s="20">
        <v>0</v>
      </c>
      <c r="AG15" s="20">
        <v>0</v>
      </c>
      <c r="AH15" s="20">
        <v>0</v>
      </c>
      <c r="AI15" s="20">
        <v>0</v>
      </c>
      <c r="AJ15" s="20">
        <v>0</v>
      </c>
      <c r="AK15" s="20">
        <v>0</v>
      </c>
      <c r="AL15" s="20">
        <v>0</v>
      </c>
      <c r="AM15" s="20">
        <v>0</v>
      </c>
      <c r="AN15" s="20">
        <v>0</v>
      </c>
      <c r="AO15" s="20">
        <v>0</v>
      </c>
      <c r="AP15" s="20">
        <v>0</v>
      </c>
      <c r="AQ15" s="20">
        <v>0</v>
      </c>
      <c r="AR15" s="20">
        <v>0</v>
      </c>
      <c r="AS15" s="20">
        <v>0</v>
      </c>
      <c r="AT15" s="20">
        <v>0</v>
      </c>
      <c r="AU15" s="20">
        <v>0</v>
      </c>
      <c r="AV15" s="20">
        <v>0</v>
      </c>
      <c r="AW15" s="20">
        <v>0</v>
      </c>
      <c r="AX15" s="20">
        <v>0</v>
      </c>
      <c r="AY15" s="20">
        <v>0</v>
      </c>
      <c r="AZ15" s="20">
        <v>0</v>
      </c>
      <c r="BA15" s="20">
        <v>0</v>
      </c>
      <c r="BB15" s="20">
        <v>0</v>
      </c>
      <c r="BC15" s="20">
        <v>0</v>
      </c>
      <c r="BD15" s="20">
        <v>0</v>
      </c>
      <c r="BE15">
        <v>0</v>
      </c>
      <c r="BF15">
        <v>0</v>
      </c>
      <c r="BG15">
        <v>0</v>
      </c>
      <c r="BH15">
        <v>0</v>
      </c>
    </row>
    <row r="16" spans="1:60" x14ac:dyDescent="0.25">
      <c r="A16" t="s">
        <v>76</v>
      </c>
      <c r="B16" t="s">
        <v>233</v>
      </c>
      <c r="C16" s="20">
        <v>0</v>
      </c>
      <c r="D16" s="20">
        <v>0</v>
      </c>
      <c r="E16" s="20">
        <v>0</v>
      </c>
      <c r="F16" s="20">
        <v>0</v>
      </c>
      <c r="G16" s="20">
        <v>0</v>
      </c>
      <c r="H16" s="20">
        <v>0</v>
      </c>
      <c r="I16" s="20">
        <v>0</v>
      </c>
      <c r="J16" s="20">
        <v>0</v>
      </c>
      <c r="K16" s="20">
        <v>0</v>
      </c>
      <c r="L16" s="20">
        <v>0</v>
      </c>
      <c r="M16" s="20">
        <v>0</v>
      </c>
      <c r="N16" s="20">
        <v>0</v>
      </c>
      <c r="O16" s="20">
        <v>0</v>
      </c>
      <c r="P16" s="20">
        <v>0</v>
      </c>
      <c r="Q16" s="20">
        <v>0</v>
      </c>
      <c r="R16" s="20">
        <v>97.808191506804391</v>
      </c>
      <c r="S16" s="20">
        <v>97.808191506804391</v>
      </c>
      <c r="T16" s="20">
        <v>286.44531759360001</v>
      </c>
      <c r="U16" s="20">
        <v>286.44531759360001</v>
      </c>
      <c r="V16" s="20">
        <v>149.5269997794</v>
      </c>
      <c r="W16" s="20">
        <v>149.5269997794</v>
      </c>
      <c r="X16" s="20">
        <v>0</v>
      </c>
      <c r="Y16" s="20">
        <v>0</v>
      </c>
      <c r="Z16" s="20">
        <v>0</v>
      </c>
      <c r="AA16" s="20">
        <v>0</v>
      </c>
      <c r="AB16" s="20">
        <v>0</v>
      </c>
      <c r="AC16" s="20">
        <v>0</v>
      </c>
      <c r="AD16" s="20">
        <v>0</v>
      </c>
      <c r="AE16" s="20">
        <v>0</v>
      </c>
      <c r="AF16" s="20">
        <v>0</v>
      </c>
      <c r="AG16" s="20">
        <v>0</v>
      </c>
      <c r="AH16" s="20">
        <v>0</v>
      </c>
      <c r="AI16" s="20">
        <v>0</v>
      </c>
      <c r="AJ16" s="20">
        <v>0</v>
      </c>
      <c r="AK16" s="20">
        <v>0</v>
      </c>
      <c r="AL16" s="20">
        <v>0</v>
      </c>
      <c r="AM16" s="20">
        <v>0</v>
      </c>
      <c r="AN16" s="20">
        <v>0</v>
      </c>
      <c r="AO16" s="20">
        <v>0</v>
      </c>
      <c r="AP16" s="20">
        <v>0</v>
      </c>
      <c r="AQ16" s="20">
        <v>0</v>
      </c>
      <c r="AR16" s="20">
        <v>0</v>
      </c>
      <c r="AS16" s="20">
        <v>0</v>
      </c>
      <c r="AT16" s="20">
        <v>0</v>
      </c>
      <c r="AU16" s="20">
        <v>0</v>
      </c>
      <c r="AV16" s="20">
        <v>0</v>
      </c>
      <c r="AW16" s="20">
        <v>0</v>
      </c>
      <c r="AX16" s="20">
        <v>0</v>
      </c>
      <c r="AY16" s="20">
        <v>0</v>
      </c>
      <c r="AZ16" s="20">
        <v>0</v>
      </c>
      <c r="BA16" s="20">
        <v>0</v>
      </c>
      <c r="BB16" s="20">
        <v>0</v>
      </c>
      <c r="BC16" s="20">
        <v>0</v>
      </c>
      <c r="BD16" s="20">
        <v>0</v>
      </c>
      <c r="BE16">
        <v>0</v>
      </c>
      <c r="BF16">
        <v>0</v>
      </c>
      <c r="BG16">
        <v>0</v>
      </c>
      <c r="BH16">
        <v>0</v>
      </c>
    </row>
    <row r="17" spans="1:60" x14ac:dyDescent="0.25">
      <c r="A17" t="s">
        <v>77</v>
      </c>
      <c r="B17" t="s">
        <v>234</v>
      </c>
      <c r="C17" s="20">
        <v>28.485039342188983</v>
      </c>
      <c r="D17" s="20">
        <v>54.251955744206541</v>
      </c>
      <c r="E17" s="20">
        <v>30.682097770163615</v>
      </c>
      <c r="F17" s="20">
        <v>57.768981507495255</v>
      </c>
      <c r="G17" s="20">
        <v>24.160489986842219</v>
      </c>
      <c r="H17" s="20">
        <v>24.385600272454184</v>
      </c>
      <c r="I17" s="20">
        <v>24.512069070018867</v>
      </c>
      <c r="J17" s="20">
        <v>37.639566432157579</v>
      </c>
      <c r="K17" s="20">
        <v>37.76603522972227</v>
      </c>
      <c r="L17" s="20">
        <v>37.991145515334232</v>
      </c>
      <c r="M17" s="20">
        <v>38.117614312898915</v>
      </c>
      <c r="N17" s="20">
        <v>14.079225767858535</v>
      </c>
      <c r="O17" s="20">
        <v>10.484476747906088</v>
      </c>
      <c r="P17" s="20">
        <v>5.4678392189807807</v>
      </c>
      <c r="Q17" s="20">
        <v>14.24999383527399</v>
      </c>
      <c r="R17" s="20">
        <v>0</v>
      </c>
      <c r="S17" s="20">
        <v>0</v>
      </c>
      <c r="T17" s="20">
        <v>0</v>
      </c>
      <c r="U17" s="20">
        <v>0</v>
      </c>
      <c r="V17" s="20">
        <v>0</v>
      </c>
      <c r="W17" s="20">
        <v>0</v>
      </c>
      <c r="X17" s="20">
        <v>0</v>
      </c>
      <c r="Y17" s="20">
        <v>0</v>
      </c>
      <c r="Z17" s="20">
        <v>0</v>
      </c>
      <c r="AA17" s="20">
        <v>0</v>
      </c>
      <c r="AB17" s="20">
        <v>0</v>
      </c>
      <c r="AC17" s="20">
        <v>0</v>
      </c>
      <c r="AD17" s="20">
        <v>0</v>
      </c>
      <c r="AE17" s="20">
        <v>0</v>
      </c>
      <c r="AF17" s="20">
        <v>9.3162261512967581E-2</v>
      </c>
      <c r="AG17" s="20">
        <v>0.4427448878615744</v>
      </c>
      <c r="AH17" s="20">
        <v>2.2037157368483872E-3</v>
      </c>
      <c r="AI17" s="20">
        <v>4.1756156794292863E-2</v>
      </c>
      <c r="AJ17" s="20">
        <v>1.0010745187572745</v>
      </c>
      <c r="AK17" s="20">
        <v>0</v>
      </c>
      <c r="AL17" s="20">
        <v>0</v>
      </c>
      <c r="AM17" s="20">
        <v>0</v>
      </c>
      <c r="AN17" s="20">
        <v>0</v>
      </c>
      <c r="AO17" s="20">
        <v>0</v>
      </c>
      <c r="AP17" s="20">
        <v>0</v>
      </c>
      <c r="AQ17" s="20">
        <v>0</v>
      </c>
      <c r="AR17" s="20">
        <v>0</v>
      </c>
      <c r="AS17" s="20">
        <v>0</v>
      </c>
      <c r="AT17" s="20">
        <v>0</v>
      </c>
      <c r="AU17" s="20">
        <v>0</v>
      </c>
      <c r="AV17" s="20">
        <v>0</v>
      </c>
      <c r="AW17" s="20">
        <v>0</v>
      </c>
      <c r="AX17" s="20">
        <v>0</v>
      </c>
      <c r="AY17" s="20">
        <v>0</v>
      </c>
      <c r="AZ17" s="20">
        <v>0</v>
      </c>
      <c r="BA17" s="20">
        <v>0</v>
      </c>
      <c r="BB17" s="20">
        <v>0</v>
      </c>
      <c r="BC17" s="20">
        <v>0</v>
      </c>
      <c r="BD17" s="20">
        <v>0</v>
      </c>
      <c r="BE17">
        <v>0</v>
      </c>
      <c r="BF17">
        <v>0</v>
      </c>
      <c r="BG17">
        <v>0</v>
      </c>
      <c r="BH17">
        <v>0</v>
      </c>
    </row>
    <row r="18" spans="1:60" x14ac:dyDescent="0.25">
      <c r="A18" t="s">
        <v>10</v>
      </c>
      <c r="B18" t="s">
        <v>235</v>
      </c>
      <c r="C18" s="20">
        <v>0</v>
      </c>
      <c r="D18" s="20">
        <v>0</v>
      </c>
      <c r="E18" s="20">
        <v>0</v>
      </c>
      <c r="F18" s="20">
        <v>0</v>
      </c>
      <c r="G18" s="20">
        <v>0</v>
      </c>
      <c r="H18" s="20">
        <v>0</v>
      </c>
      <c r="I18" s="20">
        <v>0</v>
      </c>
      <c r="J18" s="20">
        <v>0</v>
      </c>
      <c r="K18" s="20">
        <v>0</v>
      </c>
      <c r="L18" s="20">
        <v>0</v>
      </c>
      <c r="M18" s="20">
        <v>0</v>
      </c>
      <c r="N18" s="20">
        <v>0</v>
      </c>
      <c r="O18" s="20">
        <v>0</v>
      </c>
      <c r="P18" s="20">
        <v>0</v>
      </c>
      <c r="Q18" s="20">
        <v>0</v>
      </c>
      <c r="R18" s="20">
        <v>0</v>
      </c>
      <c r="S18" s="20">
        <v>0</v>
      </c>
      <c r="T18" s="20">
        <v>0</v>
      </c>
      <c r="U18" s="20">
        <v>0</v>
      </c>
      <c r="V18" s="20">
        <v>0</v>
      </c>
      <c r="W18" s="20">
        <v>0</v>
      </c>
      <c r="X18" s="20">
        <v>0</v>
      </c>
      <c r="Y18" s="20">
        <v>0</v>
      </c>
      <c r="Z18" s="20">
        <v>0</v>
      </c>
      <c r="AA18" s="20">
        <v>0</v>
      </c>
      <c r="AB18" s="20">
        <v>0</v>
      </c>
      <c r="AC18" s="20">
        <v>0</v>
      </c>
      <c r="AD18" s="20">
        <v>0</v>
      </c>
      <c r="AE18" s="20">
        <v>0</v>
      </c>
      <c r="AF18" s="20">
        <v>0</v>
      </c>
      <c r="AG18" s="20">
        <v>0</v>
      </c>
      <c r="AH18" s="20">
        <v>0</v>
      </c>
      <c r="AI18" s="20">
        <v>0</v>
      </c>
      <c r="AJ18" s="20">
        <v>0</v>
      </c>
      <c r="AK18" s="20">
        <v>0</v>
      </c>
      <c r="AL18" s="20">
        <v>0</v>
      </c>
      <c r="AM18" s="20">
        <v>0</v>
      </c>
      <c r="AN18" s="20">
        <v>0</v>
      </c>
      <c r="AO18" s="20">
        <v>47.585682423790196</v>
      </c>
      <c r="AP18" s="20">
        <v>0.15373698674784678</v>
      </c>
      <c r="AQ18" s="20">
        <v>40.949750209232455</v>
      </c>
      <c r="AR18" s="20">
        <v>0.28419018572091292</v>
      </c>
      <c r="AS18" s="20">
        <v>157.17560741575514</v>
      </c>
      <c r="AT18" s="20">
        <v>161.25115699804385</v>
      </c>
      <c r="AU18" s="20">
        <v>20.911062685354459</v>
      </c>
      <c r="AV18" s="20">
        <v>22.813034342203263</v>
      </c>
      <c r="AW18" s="20">
        <v>34.309868603155259</v>
      </c>
      <c r="AX18" s="20">
        <v>14.47198545602275</v>
      </c>
      <c r="AY18" s="20">
        <v>0</v>
      </c>
      <c r="AZ18" s="20">
        <v>0</v>
      </c>
      <c r="BA18" s="20">
        <v>0</v>
      </c>
      <c r="BB18" s="20">
        <v>0</v>
      </c>
      <c r="BC18" s="20">
        <v>0</v>
      </c>
      <c r="BD18" s="20">
        <v>0</v>
      </c>
      <c r="BE18">
        <v>0</v>
      </c>
      <c r="BF18">
        <v>0</v>
      </c>
      <c r="BG18">
        <v>0</v>
      </c>
      <c r="BH18">
        <v>0</v>
      </c>
    </row>
    <row r="19" spans="1:60" x14ac:dyDescent="0.25">
      <c r="A19" t="s">
        <v>236</v>
      </c>
      <c r="B19" t="s">
        <v>235</v>
      </c>
      <c r="C19" s="20">
        <v>23.829143303286259</v>
      </c>
      <c r="D19" s="20">
        <v>47.658286606572517</v>
      </c>
      <c r="E19" s="20">
        <v>0</v>
      </c>
      <c r="F19" s="20">
        <v>0</v>
      </c>
      <c r="G19" s="20">
        <v>0</v>
      </c>
      <c r="H19" s="20">
        <v>0</v>
      </c>
      <c r="I19" s="20">
        <v>0</v>
      </c>
      <c r="J19" s="20">
        <v>28.501833740831302</v>
      </c>
      <c r="K19" s="20">
        <v>28.501833740831302</v>
      </c>
      <c r="L19" s="20">
        <v>28.501833740831302</v>
      </c>
      <c r="M19" s="20">
        <v>28.501833740831302</v>
      </c>
      <c r="N19" s="20">
        <v>0</v>
      </c>
      <c r="O19" s="20">
        <v>0</v>
      </c>
      <c r="P19" s="20">
        <v>0</v>
      </c>
      <c r="Q19" s="20">
        <v>11.217169075876532</v>
      </c>
      <c r="R19" s="20">
        <v>0</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c r="AX19" s="20">
        <v>0</v>
      </c>
      <c r="AY19" s="20">
        <v>0</v>
      </c>
      <c r="AZ19" s="20">
        <v>0</v>
      </c>
      <c r="BA19" s="20">
        <v>0</v>
      </c>
      <c r="BB19" s="20">
        <v>0</v>
      </c>
      <c r="BC19" s="20">
        <v>0</v>
      </c>
      <c r="BD19" s="20">
        <v>0</v>
      </c>
      <c r="BE19">
        <v>0</v>
      </c>
      <c r="BF19">
        <v>0</v>
      </c>
      <c r="BG19">
        <v>0</v>
      </c>
      <c r="BH19">
        <v>0</v>
      </c>
    </row>
    <row r="20" spans="1:60" x14ac:dyDescent="0.25">
      <c r="A20" t="s">
        <v>78</v>
      </c>
      <c r="B20" t="s">
        <v>235</v>
      </c>
      <c r="C20" s="20">
        <v>10.961807083540355</v>
      </c>
      <c r="D20" s="20">
        <v>21.923614167080711</v>
      </c>
      <c r="E20" s="20">
        <v>12.932764162517874</v>
      </c>
      <c r="F20" s="20">
        <v>20.63606866552427</v>
      </c>
      <c r="G20" s="20">
        <v>16.244970542809003</v>
      </c>
      <c r="H20" s="20">
        <v>16.244970542809003</v>
      </c>
      <c r="I20" s="20">
        <v>16.244970542809003</v>
      </c>
      <c r="J20" s="20">
        <v>16.465823274161785</v>
      </c>
      <c r="K20" s="20">
        <v>16.465823274161785</v>
      </c>
      <c r="L20" s="20">
        <v>16.465823274161785</v>
      </c>
      <c r="M20" s="20">
        <v>16.465823274161785</v>
      </c>
      <c r="N20" s="20">
        <v>0</v>
      </c>
      <c r="O20" s="20">
        <v>0</v>
      </c>
      <c r="P20" s="20">
        <v>0</v>
      </c>
      <c r="Q20" s="20">
        <v>1.640035085522527</v>
      </c>
      <c r="R20" s="20">
        <v>0</v>
      </c>
      <c r="S20" s="20">
        <v>0</v>
      </c>
      <c r="T20" s="20">
        <v>0</v>
      </c>
      <c r="U20" s="20">
        <v>0</v>
      </c>
      <c r="V20" s="20">
        <v>0</v>
      </c>
      <c r="W20" s="20">
        <v>0</v>
      </c>
      <c r="X20" s="20">
        <v>0</v>
      </c>
      <c r="Y20" s="20">
        <v>0</v>
      </c>
      <c r="Z20" s="20">
        <v>0</v>
      </c>
      <c r="AA20" s="20">
        <v>0</v>
      </c>
      <c r="AB20" s="20">
        <v>0</v>
      </c>
      <c r="AC20" s="20">
        <v>0</v>
      </c>
      <c r="AD20" s="20">
        <v>0</v>
      </c>
      <c r="AE20" s="20">
        <v>0</v>
      </c>
      <c r="AF20" s="20">
        <v>0</v>
      </c>
      <c r="AG20" s="20">
        <v>0</v>
      </c>
      <c r="AH20" s="20">
        <v>0</v>
      </c>
      <c r="AI20" s="20">
        <v>0</v>
      </c>
      <c r="AJ20" s="20">
        <v>0</v>
      </c>
      <c r="AK20" s="20">
        <v>0</v>
      </c>
      <c r="AL20" s="20">
        <v>0</v>
      </c>
      <c r="AM20" s="20">
        <v>0</v>
      </c>
      <c r="AN20" s="20">
        <v>0</v>
      </c>
      <c r="AO20" s="20">
        <v>0</v>
      </c>
      <c r="AP20" s="20">
        <v>0</v>
      </c>
      <c r="AQ20" s="20">
        <v>0</v>
      </c>
      <c r="AR20" s="20">
        <v>0</v>
      </c>
      <c r="AS20" s="20">
        <v>0</v>
      </c>
      <c r="AT20" s="20">
        <v>0</v>
      </c>
      <c r="AU20" s="20">
        <v>0</v>
      </c>
      <c r="AV20" s="20">
        <v>0</v>
      </c>
      <c r="AW20" s="20">
        <v>0</v>
      </c>
      <c r="AX20" s="20">
        <v>0</v>
      </c>
      <c r="AY20" s="20">
        <v>0</v>
      </c>
      <c r="AZ20" s="20">
        <v>0</v>
      </c>
      <c r="BA20" s="20">
        <v>0</v>
      </c>
      <c r="BB20" s="20">
        <v>0</v>
      </c>
      <c r="BC20" s="20">
        <v>0</v>
      </c>
      <c r="BD20" s="20">
        <v>0</v>
      </c>
      <c r="BE20">
        <v>0</v>
      </c>
      <c r="BF20">
        <v>0</v>
      </c>
      <c r="BG20">
        <v>0</v>
      </c>
      <c r="BH20">
        <v>0</v>
      </c>
    </row>
    <row r="21" spans="1:60" x14ac:dyDescent="0.25">
      <c r="A21" t="s">
        <v>237</v>
      </c>
      <c r="B21" t="s">
        <v>238</v>
      </c>
      <c r="C21" s="20">
        <v>67.970900182591137</v>
      </c>
      <c r="D21" s="20">
        <v>114.60706535534628</v>
      </c>
      <c r="E21" s="20">
        <v>51.622143250396597</v>
      </c>
      <c r="F21" s="20">
        <v>82.699980260034778</v>
      </c>
      <c r="G21" s="20">
        <v>37.004339392069923</v>
      </c>
      <c r="H21" s="20">
        <v>37.004339392069923</v>
      </c>
      <c r="I21" s="20">
        <v>37.004339392069923</v>
      </c>
      <c r="J21" s="20">
        <v>49.992519752838454</v>
      </c>
      <c r="K21" s="20">
        <v>49.992519752838454</v>
      </c>
      <c r="L21" s="20">
        <v>49.992519752838454</v>
      </c>
      <c r="M21" s="20">
        <v>49.992519752838454</v>
      </c>
      <c r="N21" s="20">
        <v>13.6251712716446</v>
      </c>
      <c r="O21" s="20">
        <v>15.499335455279795</v>
      </c>
      <c r="P21" s="20">
        <v>31.374304099639883</v>
      </c>
      <c r="Q21" s="20">
        <v>46.330065457627875</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1.7708063721874043</v>
      </c>
      <c r="AL21" s="20">
        <v>0</v>
      </c>
      <c r="AM21" s="20">
        <v>0</v>
      </c>
      <c r="AN21" s="20">
        <v>0</v>
      </c>
      <c r="AO21" s="20">
        <v>0</v>
      </c>
      <c r="AP21" s="20">
        <v>0</v>
      </c>
      <c r="AQ21" s="20">
        <v>0</v>
      </c>
      <c r="AR21" s="20">
        <v>0</v>
      </c>
      <c r="AS21" s="20">
        <v>0</v>
      </c>
      <c r="AT21" s="20">
        <v>0</v>
      </c>
      <c r="AU21" s="20">
        <v>0</v>
      </c>
      <c r="AV21" s="20">
        <v>0</v>
      </c>
      <c r="AW21" s="20">
        <v>0</v>
      </c>
      <c r="AX21" s="20">
        <v>0</v>
      </c>
      <c r="AY21" s="20">
        <v>0</v>
      </c>
      <c r="AZ21" s="20">
        <v>20.245142765795233</v>
      </c>
      <c r="BA21" s="20">
        <v>8.1296785617668021</v>
      </c>
      <c r="BB21" s="20">
        <v>24.321346007230513</v>
      </c>
      <c r="BC21" s="20">
        <v>10.284878384692947</v>
      </c>
      <c r="BD21" s="20">
        <v>0.30012453300124531</v>
      </c>
      <c r="BE21">
        <v>1.7940110696001101</v>
      </c>
      <c r="BF21">
        <v>1.9874913518749131</v>
      </c>
      <c r="BG21">
        <v>2.9812370278123699</v>
      </c>
      <c r="BH21">
        <v>1.0015584415584415</v>
      </c>
    </row>
    <row r="22" spans="1:60" x14ac:dyDescent="0.25">
      <c r="A22" t="s">
        <v>80</v>
      </c>
      <c r="B22" t="s">
        <v>239</v>
      </c>
      <c r="C22" s="20">
        <v>110.75981735159819</v>
      </c>
      <c r="D22" s="20">
        <v>122.47762557077627</v>
      </c>
      <c r="E22" s="20">
        <v>90.011389639192132</v>
      </c>
      <c r="F22" s="20">
        <v>98.917069033137039</v>
      </c>
      <c r="G22" s="20">
        <v>100.39786761714036</v>
      </c>
      <c r="H22" s="20">
        <v>107.58054704143699</v>
      </c>
      <c r="I22" s="20">
        <v>107.58054704143699</v>
      </c>
      <c r="J22" s="20">
        <v>100.39786761714036</v>
      </c>
      <c r="K22" s="20">
        <v>107.58054704143699</v>
      </c>
      <c r="L22" s="20">
        <v>107.58054704143699</v>
      </c>
      <c r="M22" s="20">
        <v>107.58054704143699</v>
      </c>
      <c r="N22" s="20">
        <v>0</v>
      </c>
      <c r="O22" s="20">
        <v>0</v>
      </c>
      <c r="P22" s="20">
        <v>0</v>
      </c>
      <c r="Q22" s="20">
        <v>0</v>
      </c>
      <c r="R22" s="20">
        <v>0</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c r="AX22" s="20">
        <v>0</v>
      </c>
      <c r="AY22" s="20">
        <v>0</v>
      </c>
      <c r="AZ22" s="20">
        <v>0</v>
      </c>
      <c r="BA22" s="20">
        <v>0</v>
      </c>
      <c r="BB22" s="20">
        <v>0</v>
      </c>
      <c r="BC22" s="20">
        <v>0</v>
      </c>
      <c r="BD22" s="20">
        <v>0</v>
      </c>
      <c r="BE22">
        <v>0</v>
      </c>
      <c r="BF22">
        <v>0</v>
      </c>
      <c r="BG22">
        <v>0</v>
      </c>
      <c r="BH22">
        <v>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8999A-D2F7-48B7-B0A1-DD12721CF780}">
  <sheetPr>
    <tabColor rgb="FFFFC000"/>
  </sheetPr>
  <dimension ref="A1:AP31"/>
  <sheetViews>
    <sheetView zoomScale="110" zoomScaleNormal="110" workbookViewId="0">
      <pane xSplit="1" topLeftCell="G1" activePane="topRight" state="frozen"/>
      <selection activeCell="B2" sqref="B2:L24"/>
      <selection pane="topRight" activeCell="B2" sqref="B2:L24"/>
    </sheetView>
  </sheetViews>
  <sheetFormatPr defaultColWidth="8.85546875" defaultRowHeight="15" x14ac:dyDescent="0.25"/>
  <cols>
    <col min="1" max="1" width="40.42578125" customWidth="1"/>
    <col min="2" max="2" width="14" customWidth="1"/>
    <col min="4" max="4" width="11.85546875" customWidth="1"/>
    <col min="5" max="5" width="11" customWidth="1"/>
    <col min="35" max="35" width="11" customWidth="1"/>
    <col min="36" max="36" width="11.42578125" customWidth="1"/>
    <col min="37" max="37" width="14.140625" customWidth="1"/>
  </cols>
  <sheetData>
    <row r="1" spans="1:12" x14ac:dyDescent="0.25">
      <c r="A1" s="13" t="s">
        <v>64</v>
      </c>
      <c r="B1" s="14" t="s">
        <v>167</v>
      </c>
      <c r="C1" s="14" t="s">
        <v>168</v>
      </c>
      <c r="D1" s="14" t="s">
        <v>161</v>
      </c>
      <c r="E1" s="14" t="s">
        <v>162</v>
      </c>
      <c r="F1" s="14" t="s">
        <v>17</v>
      </c>
      <c r="G1" s="14" t="s">
        <v>18</v>
      </c>
      <c r="H1" s="14" t="s">
        <v>19</v>
      </c>
      <c r="I1" s="14" t="s">
        <v>163</v>
      </c>
      <c r="J1" s="14" t="s">
        <v>164</v>
      </c>
      <c r="K1" s="14" t="s">
        <v>165</v>
      </c>
      <c r="L1" s="14" t="s">
        <v>166</v>
      </c>
    </row>
    <row r="2" spans="1:12" x14ac:dyDescent="0.25">
      <c r="A2" s="15" t="s">
        <v>65</v>
      </c>
      <c r="B2" s="16">
        <f>s!B13</f>
        <v>77.214984468038978</v>
      </c>
      <c r="C2" s="16">
        <f>cpl!B13</f>
        <v>132.80972798391019</v>
      </c>
      <c r="D2" s="16">
        <f>sp!B13</f>
        <v>67.645664969979578</v>
      </c>
      <c r="E2" s="16">
        <f>cp!B13</f>
        <v>113.36478215503941</v>
      </c>
      <c r="F2" s="16">
        <f>'lp+1'!B13</f>
        <v>74.627726876841791</v>
      </c>
      <c r="G2" s="16">
        <f>'lp+2'!B13</f>
        <v>105.2107430554739</v>
      </c>
      <c r="H2" s="16">
        <f>'lp+3'!B13</f>
        <v>141.9773498456054</v>
      </c>
      <c r="I2" s="16">
        <f>'c+1'!B13</f>
        <v>116.14355060637462</v>
      </c>
      <c r="J2" s="16">
        <f>'c+2'!B13</f>
        <v>144.86187751257057</v>
      </c>
      <c r="K2" s="16">
        <f>'c+3'!B13</f>
        <v>186.48638248175712</v>
      </c>
      <c r="L2" s="16">
        <f>'c+4'!B13</f>
        <v>203.23137817363477</v>
      </c>
    </row>
    <row r="3" spans="1:12" x14ac:dyDescent="0.25">
      <c r="A3" s="15" t="s">
        <v>66</v>
      </c>
      <c r="B3" s="16">
        <f>s!B14</f>
        <v>8.9660505857192909</v>
      </c>
      <c r="C3" s="16">
        <f>cpl!B14</f>
        <v>18.466297403082347</v>
      </c>
      <c r="D3" s="16">
        <f>sp!B14</f>
        <v>6.6271817908541593</v>
      </c>
      <c r="E3" s="16">
        <f>cp!B14</f>
        <v>12.991518057071684</v>
      </c>
      <c r="F3" s="16">
        <f>'lp+1'!B14</f>
        <v>5.8826531201912449</v>
      </c>
      <c r="G3" s="16">
        <f>'lp+2'!B14</f>
        <v>5.8826531201912449</v>
      </c>
      <c r="H3" s="16">
        <f>'lp+3'!B14</f>
        <v>5.8826531201912449</v>
      </c>
      <c r="I3" s="16">
        <f>'c+1'!B14</f>
        <v>11.411996649459066</v>
      </c>
      <c r="J3" s="16">
        <f>'c+2'!B14</f>
        <v>11.411996649459066</v>
      </c>
      <c r="K3" s="16">
        <f>'c+3'!B14</f>
        <v>11.411996649459066</v>
      </c>
      <c r="L3" s="16">
        <f>'c+4'!B14</f>
        <v>11.411996649459066</v>
      </c>
    </row>
    <row r="4" spans="1:12" x14ac:dyDescent="0.25">
      <c r="A4" s="15" t="s">
        <v>67</v>
      </c>
      <c r="B4" s="16">
        <f>s!B15</f>
        <v>0</v>
      </c>
      <c r="C4" s="16">
        <f>cpl!B15</f>
        <v>0</v>
      </c>
      <c r="D4" s="16">
        <f>sp!B15</f>
        <v>0</v>
      </c>
      <c r="E4" s="16">
        <f>cp!B15</f>
        <v>0</v>
      </c>
      <c r="F4" s="16">
        <f>'lp+1'!B15</f>
        <v>0</v>
      </c>
      <c r="G4" s="16">
        <f>'lp+2'!B15</f>
        <v>0</v>
      </c>
      <c r="H4" s="16">
        <f>'lp+3'!B15</f>
        <v>0</v>
      </c>
      <c r="I4" s="16">
        <f>'c+1'!B15</f>
        <v>0</v>
      </c>
      <c r="J4" s="16">
        <f>'c+2'!B15</f>
        <v>0</v>
      </c>
      <c r="K4" s="16">
        <f>'c+3'!B15</f>
        <v>0</v>
      </c>
      <c r="L4" s="16">
        <f>'c+4'!B15</f>
        <v>0</v>
      </c>
    </row>
    <row r="5" spans="1:12" x14ac:dyDescent="0.25">
      <c r="A5" s="15" t="s">
        <v>68</v>
      </c>
      <c r="B5" s="16">
        <f>s!B16</f>
        <v>14.985907861917807</v>
      </c>
      <c r="C5" s="16">
        <f>cpl!B16</f>
        <v>29.971815723835615</v>
      </c>
      <c r="D5" s="16">
        <f>sp!B16</f>
        <v>9.5171893144520556</v>
      </c>
      <c r="E5" s="16">
        <f>cp!B16</f>
        <v>19.034378628904111</v>
      </c>
      <c r="F5" s="16">
        <f>'lp+1'!B16</f>
        <v>26.836314578349409</v>
      </c>
      <c r="G5" s="16">
        <f>'lp+2'!B16</f>
        <v>41.495595012606351</v>
      </c>
      <c r="H5" s="16">
        <f>'lp+3'!B16</f>
        <v>59.557629258280912</v>
      </c>
      <c r="I5" s="16">
        <f>'c+1'!B16</f>
        <v>38.502916363451391</v>
      </c>
      <c r="J5" s="16">
        <f>'c+2'!B16</f>
        <v>53.162196797708333</v>
      </c>
      <c r="K5" s="16">
        <f>'c+3'!B16</f>
        <v>71.2242310433829</v>
      </c>
      <c r="L5" s="16">
        <f>'c+4'!B16</f>
        <v>82.363418399715158</v>
      </c>
    </row>
    <row r="6" spans="1:12" x14ac:dyDescent="0.25">
      <c r="A6" s="15" t="s">
        <v>69</v>
      </c>
      <c r="B6" s="16">
        <f>s!B17</f>
        <v>8.0627536334231795</v>
      </c>
      <c r="C6" s="16">
        <f>cpl!B17</f>
        <v>8.0627536334231795</v>
      </c>
      <c r="D6" s="16">
        <f>sp!B17</f>
        <v>8.0627536334231795</v>
      </c>
      <c r="E6" s="16">
        <f>cp!B17</f>
        <v>9.5085785983827478</v>
      </c>
      <c r="F6" s="16">
        <f>'lp+1'!B17</f>
        <v>11.922694497153699</v>
      </c>
      <c r="G6" s="16">
        <f>'lp+2'!B17</f>
        <v>12.54056925996205</v>
      </c>
      <c r="H6" s="16">
        <f>'lp+3'!B17</f>
        <v>12.54056925996205</v>
      </c>
      <c r="I6" s="16">
        <f>'c+1'!B17</f>
        <v>11.922694497153699</v>
      </c>
      <c r="J6" s="16">
        <f>'c+2'!B17</f>
        <v>12.54056925996205</v>
      </c>
      <c r="K6" s="16">
        <f>'c+3'!B17</f>
        <v>12.54056925996205</v>
      </c>
      <c r="L6" s="16">
        <f>'c+4'!B17</f>
        <v>12.54056925996205</v>
      </c>
    </row>
    <row r="7" spans="1:12" x14ac:dyDescent="0.25">
      <c r="A7" s="15" t="s">
        <v>70</v>
      </c>
      <c r="B7" s="16">
        <f>s!B18</f>
        <v>20.683399999999995</v>
      </c>
      <c r="C7" s="16">
        <f>cpl!B18</f>
        <v>27.577866666666662</v>
      </c>
      <c r="D7" s="16">
        <f>sp!B18</f>
        <v>20.683399999999995</v>
      </c>
      <c r="E7" s="16">
        <f>cp!B18</f>
        <v>27.577866666666662</v>
      </c>
      <c r="F7" s="16">
        <f>'lp+1'!B18</f>
        <v>24.130633333333332</v>
      </c>
      <c r="G7" s="16">
        <f>'lp+2'!B18</f>
        <v>24.130633333333332</v>
      </c>
      <c r="H7" s="16">
        <f>'lp+3'!B18</f>
        <v>24.130633333333332</v>
      </c>
      <c r="I7" s="16">
        <f>'c+1'!B18</f>
        <v>32.174177777777778</v>
      </c>
      <c r="J7" s="16">
        <f>'c+2'!B18</f>
        <v>32.174177777777778</v>
      </c>
      <c r="K7" s="16">
        <f>'c+3'!B18</f>
        <v>32.174177777777778</v>
      </c>
      <c r="L7" s="16">
        <f>'c+4'!B18</f>
        <v>32.174177777777778</v>
      </c>
    </row>
    <row r="8" spans="1:12" x14ac:dyDescent="0.25">
      <c r="A8" s="15" t="s">
        <v>71</v>
      </c>
      <c r="B8" s="16">
        <f>s!B19</f>
        <v>1.7450245541483591</v>
      </c>
      <c r="C8" s="16">
        <f>cpl!B19</f>
        <v>1.7450245541483591</v>
      </c>
      <c r="D8" s="16">
        <f>sp!B19</f>
        <v>1.7341690359265962</v>
      </c>
      <c r="E8" s="16">
        <f>cp!B19</f>
        <v>1.9892737141380203</v>
      </c>
      <c r="F8" s="16">
        <f>'lp+1'!B19</f>
        <v>1.678161178939767</v>
      </c>
      <c r="G8" s="16">
        <f>'lp+2'!B19</f>
        <v>1.7255534743066059</v>
      </c>
      <c r="H8" s="16">
        <f>'lp+3'!B19</f>
        <v>1.9295773058608476</v>
      </c>
      <c r="I8" s="16">
        <f>'c+1'!B19</f>
        <v>1.7336101645189685</v>
      </c>
      <c r="J8" s="16">
        <f>'c+2'!B19</f>
        <v>1.9295773058608476</v>
      </c>
      <c r="K8" s="16">
        <f>'c+3'!B19</f>
        <v>1.9295773058608476</v>
      </c>
      <c r="L8" s="16">
        <f>'c+4'!B19</f>
        <v>1.9295773058608476</v>
      </c>
    </row>
    <row r="9" spans="1:12" x14ac:dyDescent="0.25">
      <c r="A9" s="15" t="s">
        <v>72</v>
      </c>
      <c r="B9" s="16">
        <f>s!B20</f>
        <v>40.152674943835613</v>
      </c>
      <c r="C9" s="16">
        <f>cpl!B20</f>
        <v>48.681451032602745</v>
      </c>
      <c r="D9" s="16">
        <f>sp!B20</f>
        <v>32.772354395890417</v>
      </c>
      <c r="E9" s="16">
        <f>cp!B20</f>
        <v>43.444146923013705</v>
      </c>
      <c r="F9" s="16">
        <f>'lp+1'!B20</f>
        <v>49.607166469863024</v>
      </c>
      <c r="G9" s="16">
        <f>'lp+2'!B20</f>
        <v>58.640336710410963</v>
      </c>
      <c r="H9" s="16">
        <f>'lp+3'!B20</f>
        <v>61.946403210136992</v>
      </c>
      <c r="I9" s="16">
        <f>'c+1'!B20</f>
        <v>55.826490135068504</v>
      </c>
      <c r="J9" s="16">
        <f>'c+2'!B20</f>
        <v>61.946403210136992</v>
      </c>
      <c r="K9" s="16">
        <f>'c+3'!B20</f>
        <v>65.053286148219186</v>
      </c>
      <c r="L9" s="16">
        <f>'c+4'!B20</f>
        <v>68.025327990410972</v>
      </c>
    </row>
    <row r="10" spans="1:12" x14ac:dyDescent="0.25">
      <c r="A10" s="15" t="s">
        <v>73</v>
      </c>
      <c r="B10" s="16">
        <f>s!B21</f>
        <v>2.0144754201447532</v>
      </c>
      <c r="C10" s="16">
        <f>cpl!B21</f>
        <v>2.0144754201447719</v>
      </c>
      <c r="D10" s="16">
        <f>sp!B21</f>
        <v>2.0144754201447719</v>
      </c>
      <c r="E10" s="16">
        <f>cp!B21</f>
        <v>2.0144754201447497</v>
      </c>
      <c r="F10" s="16">
        <f>'lp+1'!B21</f>
        <v>2.1941982272361193</v>
      </c>
      <c r="G10" s="16">
        <f>'lp+2'!B21</f>
        <v>2.1941982272361029</v>
      </c>
      <c r="H10" s="16">
        <f>'lp+3'!B21</f>
        <v>2.1941982272361193</v>
      </c>
      <c r="I10" s="16">
        <f>'c+1'!B21</f>
        <v>2.1941982272361029</v>
      </c>
      <c r="J10" s="16">
        <f>'c+2'!B21</f>
        <v>2.1941982272361193</v>
      </c>
      <c r="K10" s="16">
        <f>'c+3'!B21</f>
        <v>2.1941982272361029</v>
      </c>
      <c r="L10" s="16">
        <f>'c+4'!B21</f>
        <v>2.1941982272361029</v>
      </c>
    </row>
    <row r="11" spans="1:12" x14ac:dyDescent="0.25">
      <c r="A11" s="15" t="s">
        <v>74</v>
      </c>
      <c r="B11" s="16">
        <f>s!B22</f>
        <v>15.834541678796384</v>
      </c>
      <c r="C11" s="16">
        <f>cpl!B22</f>
        <v>17.049870076841657</v>
      </c>
      <c r="D11" s="16">
        <f>sp!B22</f>
        <v>21.212558492057241</v>
      </c>
      <c r="E11" s="16">
        <f>cp!B22</f>
        <v>24.429461567651487</v>
      </c>
      <c r="F11" s="16">
        <f>'lp+1'!B22</f>
        <v>30.127582074373233</v>
      </c>
      <c r="G11" s="16">
        <f>'lp+2'!B22</f>
        <v>33.056020023294728</v>
      </c>
      <c r="H11" s="16">
        <f>'lp+3'!B22</f>
        <v>37.357029874583183</v>
      </c>
      <c r="I11" s="16">
        <f>'c+1'!B22</f>
        <v>30.881305659227252</v>
      </c>
      <c r="J11" s="16">
        <f>'c+2'!B22</f>
        <v>34.084064069079616</v>
      </c>
      <c r="K11" s="16">
        <f>'c+3'!B22</f>
        <v>38.385073920368065</v>
      </c>
      <c r="L11" s="16">
        <f>'c+4'!B22</f>
        <v>43.659079851626544</v>
      </c>
    </row>
    <row r="12" spans="1:12" x14ac:dyDescent="0.25">
      <c r="A12" s="15" t="s">
        <v>75</v>
      </c>
      <c r="B12" s="16">
        <f>s!B23</f>
        <v>8.9230377534475291</v>
      </c>
      <c r="C12" s="16">
        <f>cpl!B23</f>
        <v>12.013150729197388</v>
      </c>
      <c r="D12" s="16">
        <f>sp!B23</f>
        <v>10.75890625796827</v>
      </c>
      <c r="E12" s="16">
        <f>cp!B23</f>
        <v>13.241001908052384</v>
      </c>
      <c r="F12" s="16">
        <f>'lp+1'!B23</f>
        <v>15.01990478016584</v>
      </c>
      <c r="G12" s="16">
        <f>'lp+2'!B23</f>
        <v>15.01990478016584</v>
      </c>
      <c r="H12" s="16">
        <f>'lp+3'!B23</f>
        <v>18.008206343137296</v>
      </c>
      <c r="I12" s="16">
        <f>'c+1'!B23</f>
        <v>11.965218785372629</v>
      </c>
      <c r="J12" s="16">
        <f>'c+2'!B23</f>
        <v>11.965218785372629</v>
      </c>
      <c r="K12" s="16">
        <f>'c+3'!B23</f>
        <v>14.953520348344085</v>
      </c>
      <c r="L12" s="16">
        <f>'c+4'!B23</f>
        <v>14.953520348344085</v>
      </c>
    </row>
    <row r="13" spans="1:12" x14ac:dyDescent="0.25">
      <c r="A13" s="15" t="s">
        <v>76</v>
      </c>
      <c r="B13" s="16">
        <f>s!B24</f>
        <v>0</v>
      </c>
      <c r="C13" s="16">
        <f>cpl!B24</f>
        <v>0</v>
      </c>
      <c r="D13" s="16">
        <f>sp!B24</f>
        <v>0</v>
      </c>
      <c r="E13" s="16">
        <f>cp!B24</f>
        <v>0</v>
      </c>
      <c r="F13" s="16">
        <f>'lp+1'!B24</f>
        <v>286.44531759360001</v>
      </c>
      <c r="G13" s="16">
        <f>'lp+2'!B24</f>
        <v>247.33519128620441</v>
      </c>
      <c r="H13" s="16">
        <f>'lp+3'!B24</f>
        <v>247.33519128620441</v>
      </c>
      <c r="I13" s="16">
        <f>'c+1'!B24</f>
        <v>286.44531759360001</v>
      </c>
      <c r="J13" s="16">
        <f>'c+2'!B24</f>
        <v>247.33519128620441</v>
      </c>
      <c r="K13" s="16">
        <f>'c+3'!B24</f>
        <v>247.33519128620441</v>
      </c>
      <c r="L13" s="16">
        <f>'c+4'!B24</f>
        <v>533.78050887980442</v>
      </c>
    </row>
    <row r="14" spans="1:12" x14ac:dyDescent="0.25">
      <c r="A14" s="15" t="s">
        <v>77</v>
      </c>
      <c r="B14" s="16">
        <f>s!B25</f>
        <v>28.485039342188983</v>
      </c>
      <c r="C14" s="16">
        <f>cpl!B25</f>
        <v>54.251955744206541</v>
      </c>
      <c r="D14" s="16">
        <f>sp!B25</f>
        <v>30.682097770163615</v>
      </c>
      <c r="E14" s="16">
        <f>cp!B25</f>
        <v>57.768981507495255</v>
      </c>
      <c r="F14" s="16">
        <f>'lp+1'!B25</f>
        <v>38.684664358299173</v>
      </c>
      <c r="G14" s="16">
        <f>'lp+2'!B25</f>
        <v>40.824620999733774</v>
      </c>
      <c r="H14" s="16">
        <f>'lp+3'!B25</f>
        <v>55.201083632572441</v>
      </c>
      <c r="I14" s="16">
        <f>'c+1'!B25</f>
        <v>52.16374080361453</v>
      </c>
      <c r="J14" s="16">
        <f>'c+2'!B25</f>
        <v>54.205055957001854</v>
      </c>
      <c r="K14" s="16">
        <f>'c+3'!B25</f>
        <v>68.680160077887805</v>
      </c>
      <c r="L14" s="16">
        <f>'c+4'!B25</f>
        <v>83.886929162068313</v>
      </c>
    </row>
    <row r="15" spans="1:12" x14ac:dyDescent="0.25">
      <c r="A15" s="15" t="s">
        <v>10</v>
      </c>
      <c r="B15" s="16">
        <f>s!B26</f>
        <v>0</v>
      </c>
      <c r="C15" s="16">
        <f>cpl!B26</f>
        <v>0</v>
      </c>
      <c r="D15" s="16">
        <f>sp!B26</f>
        <v>0</v>
      </c>
      <c r="E15" s="16">
        <f>cp!B26</f>
        <v>0</v>
      </c>
      <c r="F15" s="16">
        <f>'lp+1'!B26</f>
        <v>74.964190465092642</v>
      </c>
      <c r="G15" s="16">
        <f>'lp+2'!B26</f>
        <v>80.531289671260026</v>
      </c>
      <c r="H15" s="16">
        <f>'lp+3'!B26</f>
        <v>82.756169107527626</v>
      </c>
      <c r="I15" s="16">
        <f>'c+1'!B26</f>
        <v>75.590753177215163</v>
      </c>
      <c r="J15" s="16">
        <f>'c+2'!B26</f>
        <v>81.157852383382533</v>
      </c>
      <c r="K15" s="16">
        <f>'c+3'!B26</f>
        <v>107.1223110956752</v>
      </c>
      <c r="L15" s="16">
        <f>'c+4'!B26</f>
        <v>113.06502988384773</v>
      </c>
    </row>
    <row r="16" spans="1:12" x14ac:dyDescent="0.25">
      <c r="A16" s="15" t="s">
        <v>78</v>
      </c>
      <c r="B16" s="16">
        <f>s!B27</f>
        <v>34.790950386826616</v>
      </c>
      <c r="C16" s="16">
        <f>cpl!B27</f>
        <v>69.581900773653231</v>
      </c>
      <c r="D16" s="16">
        <f>sp!B27</f>
        <v>12.932764162517874</v>
      </c>
      <c r="E16" s="16">
        <f>cp!B27</f>
        <v>20.63606866552427</v>
      </c>
      <c r="F16" s="16">
        <f>'lp+1'!B27</f>
        <v>16.244970542809003</v>
      </c>
      <c r="G16" s="16">
        <f>'lp+2'!B27</f>
        <v>16.244970542809003</v>
      </c>
      <c r="H16" s="16">
        <f>'lp+3'!B27</f>
        <v>29.102174704208061</v>
      </c>
      <c r="I16" s="16">
        <f>'c+1'!B27</f>
        <v>44.967657014993087</v>
      </c>
      <c r="J16" s="16">
        <f>'c+2'!B27</f>
        <v>44.967657014993087</v>
      </c>
      <c r="K16" s="16">
        <f>'c+3'!B27</f>
        <v>57.824861176392147</v>
      </c>
      <c r="L16" s="16">
        <f>'c+4'!B27</f>
        <v>57.824861176392147</v>
      </c>
    </row>
    <row r="17" spans="1:42" x14ac:dyDescent="0.25">
      <c r="A17" s="15" t="s">
        <v>79</v>
      </c>
      <c r="B17" s="16">
        <f>s!B28</f>
        <v>67.970900182591137</v>
      </c>
      <c r="C17" s="16">
        <f>cpl!B28</f>
        <v>114.60706535534628</v>
      </c>
      <c r="D17" s="16">
        <f>sp!B28</f>
        <v>51.622143250396597</v>
      </c>
      <c r="E17" s="16">
        <f>cp!B28</f>
        <v>82.699980260034778</v>
      </c>
      <c r="F17" s="16">
        <f>'lp+1'!B28</f>
        <v>60.817666830545448</v>
      </c>
      <c r="G17" s="16">
        <f>'lp+2'!B28</f>
        <v>105.89392808497223</v>
      </c>
      <c r="H17" s="16">
        <f>'lp+3'!B28</f>
        <v>156.30019678403536</v>
      </c>
      <c r="I17" s="16">
        <f>'c+1'!B28</f>
        <v>73.805847191313973</v>
      </c>
      <c r="J17" s="16">
        <f>'c+2'!B28</f>
        <v>118.88210844574076</v>
      </c>
      <c r="K17" s="16">
        <f>'c+3'!B28</f>
        <v>169.28837714480392</v>
      </c>
      <c r="L17" s="16">
        <f>'c+4'!B28</f>
        <v>182.91354841644852</v>
      </c>
    </row>
    <row r="18" spans="1:42" x14ac:dyDescent="0.25">
      <c r="A18" s="15" t="s">
        <v>80</v>
      </c>
      <c r="B18" s="16">
        <f>s!B29</f>
        <v>110.75981735159819</v>
      </c>
      <c r="C18" s="16">
        <f>cpl!B29</f>
        <v>122.47762557077627</v>
      </c>
      <c r="D18" s="16">
        <f>sp!B29</f>
        <v>90.011389639192132</v>
      </c>
      <c r="E18" s="16">
        <f>cp!B29</f>
        <v>98.917069033137039</v>
      </c>
      <c r="F18" s="16">
        <f>'lp+1'!B29</f>
        <v>100.39786761714036</v>
      </c>
      <c r="G18" s="16">
        <f>'lp+2'!B29</f>
        <v>107.58054704143699</v>
      </c>
      <c r="H18" s="16">
        <f>'lp+3'!B29</f>
        <v>107.58054704143699</v>
      </c>
      <c r="I18" s="16">
        <f>'c+1'!B29</f>
        <v>100.39786761714036</v>
      </c>
      <c r="J18" s="16">
        <f>'c+2'!B29</f>
        <v>107.58054704143699</v>
      </c>
      <c r="K18" s="16">
        <f>'c+3'!B29</f>
        <v>107.58054704143699</v>
      </c>
      <c r="L18" s="16">
        <f>'c+4'!B29</f>
        <v>107.58054704143699</v>
      </c>
    </row>
    <row r="19" spans="1:42" x14ac:dyDescent="0.25">
      <c r="A19" s="17" t="s">
        <v>81</v>
      </c>
      <c r="B19" s="18">
        <f>B20-B18-B13</f>
        <v>329.82974081107864</v>
      </c>
      <c r="C19" s="18">
        <f t="shared" ref="C19:L19" si="0">C20-C18-C13</f>
        <v>536.83335509705898</v>
      </c>
      <c r="D19" s="18">
        <f t="shared" si="0"/>
        <v>276.26565849377437</v>
      </c>
      <c r="E19" s="18">
        <f t="shared" si="0"/>
        <v>428.70051407211929</v>
      </c>
      <c r="F19" s="18">
        <f t="shared" si="0"/>
        <v>432.73852733319387</v>
      </c>
      <c r="G19" s="18">
        <f t="shared" si="0"/>
        <v>543.39101629575612</v>
      </c>
      <c r="H19" s="18">
        <f t="shared" si="0"/>
        <v>688.88387400667125</v>
      </c>
      <c r="I19" s="18">
        <f t="shared" si="0"/>
        <v>559.28415705277689</v>
      </c>
      <c r="J19" s="18">
        <f>J20-J18-J13</f>
        <v>665.48295339628226</v>
      </c>
      <c r="K19" s="18">
        <f t="shared" si="0"/>
        <v>839.26872265712609</v>
      </c>
      <c r="L19" s="18">
        <f t="shared" si="0"/>
        <v>910.17361262278416</v>
      </c>
    </row>
    <row r="20" spans="1:42" x14ac:dyDescent="0.25">
      <c r="A20" s="17" t="s">
        <v>82</v>
      </c>
      <c r="B20" s="18">
        <f>SUM(B2:B18)</f>
        <v>440.58955816267684</v>
      </c>
      <c r="C20" s="18">
        <f t="shared" ref="C20:L20" si="1">SUM(C2:C18)</f>
        <v>659.31098066783522</v>
      </c>
      <c r="D20" s="18">
        <f t="shared" si="1"/>
        <v>366.27704813296651</v>
      </c>
      <c r="E20" s="18">
        <f t="shared" si="1"/>
        <v>527.61758310525636</v>
      </c>
      <c r="F20" s="18">
        <f t="shared" si="1"/>
        <v>819.58171254393426</v>
      </c>
      <c r="G20" s="18">
        <f t="shared" si="1"/>
        <v>898.30675462339741</v>
      </c>
      <c r="H20" s="18">
        <f t="shared" si="1"/>
        <v>1043.7996123343125</v>
      </c>
      <c r="I20" s="18">
        <f t="shared" si="1"/>
        <v>946.12734226351733</v>
      </c>
      <c r="J20" s="18">
        <f t="shared" si="1"/>
        <v>1020.3986917239237</v>
      </c>
      <c r="K20" s="18">
        <f t="shared" si="1"/>
        <v>1194.1844609847676</v>
      </c>
      <c r="L20" s="18">
        <f t="shared" si="1"/>
        <v>1551.5346685440256</v>
      </c>
    </row>
    <row r="21" spans="1:42" x14ac:dyDescent="0.25">
      <c r="A21" s="17" t="s">
        <v>83</v>
      </c>
      <c r="B21" s="16">
        <f>B20-B13</f>
        <v>440.58955816267684</v>
      </c>
      <c r="C21" s="16">
        <f t="shared" ref="C21:L21" si="2">C20-C13</f>
        <v>659.31098066783522</v>
      </c>
      <c r="D21" s="16">
        <f t="shared" si="2"/>
        <v>366.27704813296651</v>
      </c>
      <c r="E21" s="16">
        <f t="shared" si="2"/>
        <v>527.61758310525636</v>
      </c>
      <c r="F21" s="16">
        <f t="shared" si="2"/>
        <v>533.13639495033431</v>
      </c>
      <c r="G21" s="16">
        <f t="shared" si="2"/>
        <v>650.97156333719295</v>
      </c>
      <c r="H21" s="16">
        <f t="shared" si="2"/>
        <v>796.46442104810808</v>
      </c>
      <c r="I21" s="16">
        <f t="shared" si="2"/>
        <v>659.68202466991738</v>
      </c>
      <c r="J21" s="16">
        <f t="shared" si="2"/>
        <v>773.06350043771931</v>
      </c>
      <c r="K21" s="16">
        <f t="shared" si="2"/>
        <v>946.84926969856315</v>
      </c>
      <c r="L21" s="16">
        <f t="shared" si="2"/>
        <v>1017.7541596642212</v>
      </c>
    </row>
    <row r="22" spans="1:42" x14ac:dyDescent="0.25">
      <c r="A22" s="19" t="s">
        <v>84</v>
      </c>
      <c r="B22" s="16">
        <f>B19-B7-B6</f>
        <v>301.08358717765543</v>
      </c>
      <c r="C22" s="16">
        <f t="shared" ref="C22:L22" si="3">C19-C7-C6</f>
        <v>501.19273479696915</v>
      </c>
      <c r="D22" s="16">
        <f t="shared" si="3"/>
        <v>247.51950486035119</v>
      </c>
      <c r="E22" s="16">
        <f t="shared" si="3"/>
        <v>391.61406880706988</v>
      </c>
      <c r="F22" s="16">
        <f t="shared" si="3"/>
        <v>396.68519950270684</v>
      </c>
      <c r="G22" s="16">
        <f t="shared" si="3"/>
        <v>506.71981370246073</v>
      </c>
      <c r="H22" s="16">
        <f t="shared" si="3"/>
        <v>652.21267141337592</v>
      </c>
      <c r="I22" s="16">
        <f t="shared" si="3"/>
        <v>515.18728477784543</v>
      </c>
      <c r="J22" s="16">
        <f t="shared" si="3"/>
        <v>620.76820635854244</v>
      </c>
      <c r="K22" s="16">
        <f t="shared" si="3"/>
        <v>794.55397561938628</v>
      </c>
      <c r="L22" s="16">
        <f t="shared" si="3"/>
        <v>865.45886558504435</v>
      </c>
    </row>
    <row r="23" spans="1:42" x14ac:dyDescent="0.25">
      <c r="A23" s="19" t="s">
        <v>85</v>
      </c>
      <c r="B23" s="16">
        <f>B21-B7</f>
        <v>419.90615816267683</v>
      </c>
      <c r="C23" s="16">
        <f t="shared" ref="C23:L23" si="4">C21-C7</f>
        <v>631.73311400116859</v>
      </c>
      <c r="D23" s="16">
        <f t="shared" si="4"/>
        <v>345.59364813296651</v>
      </c>
      <c r="E23" s="16">
        <f t="shared" si="4"/>
        <v>500.03971643858972</v>
      </c>
      <c r="F23" s="16">
        <f t="shared" si="4"/>
        <v>509.00576161700099</v>
      </c>
      <c r="G23" s="16">
        <f t="shared" si="4"/>
        <v>626.84093000385963</v>
      </c>
      <c r="H23" s="16">
        <f t="shared" si="4"/>
        <v>772.33378771477476</v>
      </c>
      <c r="I23" s="16">
        <f t="shared" si="4"/>
        <v>627.50784689213958</v>
      </c>
      <c r="J23" s="16">
        <f t="shared" si="4"/>
        <v>740.88932265994151</v>
      </c>
      <c r="K23" s="16">
        <f t="shared" si="4"/>
        <v>914.67509192078535</v>
      </c>
      <c r="L23" s="16">
        <f t="shared" si="4"/>
        <v>985.57998188644342</v>
      </c>
    </row>
    <row r="24" spans="1:42" x14ac:dyDescent="0.25">
      <c r="A24" s="19" t="s">
        <v>86</v>
      </c>
      <c r="B24" s="16">
        <f>B19-B7</f>
        <v>309.14634081107863</v>
      </c>
      <c r="C24" s="16">
        <f t="shared" ref="C24:L24" si="5">C19-C7</f>
        <v>509.25548843039235</v>
      </c>
      <c r="D24" s="16">
        <f t="shared" si="5"/>
        <v>255.58225849377436</v>
      </c>
      <c r="E24" s="16">
        <f t="shared" si="5"/>
        <v>401.12264740545265</v>
      </c>
      <c r="F24" s="16">
        <f t="shared" si="5"/>
        <v>408.60789399986055</v>
      </c>
      <c r="G24" s="16">
        <f t="shared" si="5"/>
        <v>519.2603829624228</v>
      </c>
      <c r="H24" s="16">
        <f t="shared" si="5"/>
        <v>664.75324067333793</v>
      </c>
      <c r="I24" s="16">
        <f t="shared" si="5"/>
        <v>527.10997927499909</v>
      </c>
      <c r="J24" s="16">
        <f t="shared" si="5"/>
        <v>633.30877561850446</v>
      </c>
      <c r="K24" s="16">
        <f t="shared" si="5"/>
        <v>807.09454487934829</v>
      </c>
      <c r="L24" s="16">
        <f t="shared" si="5"/>
        <v>877.99943484500636</v>
      </c>
    </row>
    <row r="26" spans="1:42" x14ac:dyDescent="0.25">
      <c r="W26" s="3"/>
    </row>
    <row r="27" spans="1:42" x14ac:dyDescent="0.25">
      <c r="D27" s="12"/>
    </row>
    <row r="28" spans="1:42" x14ac:dyDescent="0.25">
      <c r="D28" s="1"/>
    </row>
    <row r="29" spans="1:42" x14ac:dyDescent="0.25">
      <c r="D29" s="1"/>
    </row>
    <row r="30" spans="1:42" x14ac:dyDescent="0.25">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row>
    <row r="31" spans="1:42" x14ac:dyDescent="0.25">
      <c r="D31" s="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939B9-ECBF-4FDB-9EC4-848ECEC730D3}">
  <dimension ref="A1:AU48"/>
  <sheetViews>
    <sheetView zoomScaleNormal="100" workbookViewId="0">
      <pane xSplit="1" topLeftCell="B1" activePane="topRight" state="frozen"/>
      <selection activeCell="B2" sqref="B2:L24"/>
      <selection pane="topRight" activeCell="B2" sqref="B2:L24"/>
    </sheetView>
  </sheetViews>
  <sheetFormatPr defaultColWidth="8.85546875" defaultRowHeight="15" x14ac:dyDescent="0.25"/>
  <cols>
    <col min="1" max="1" width="15.42578125" customWidth="1"/>
    <col min="2" max="2" width="14" customWidth="1"/>
    <col min="4" max="4" width="11.85546875" customWidth="1"/>
    <col min="5" max="5" width="11" customWidth="1"/>
    <col min="35" max="35" width="11" customWidth="1"/>
    <col min="36" max="36" width="11.42578125" customWidth="1"/>
    <col min="37" max="37" width="14.140625" customWidth="1"/>
  </cols>
  <sheetData>
    <row r="1" spans="1:12" x14ac:dyDescent="0.25">
      <c r="A1" s="1" t="s">
        <v>141</v>
      </c>
    </row>
    <row r="2" spans="1:12" x14ac:dyDescent="0.25">
      <c r="A2" t="s">
        <v>88</v>
      </c>
      <c r="B2">
        <v>1</v>
      </c>
    </row>
    <row r="3" spans="1:12" x14ac:dyDescent="0.25">
      <c r="A3" t="s">
        <v>89</v>
      </c>
      <c r="B3">
        <v>0</v>
      </c>
    </row>
    <row r="5" spans="1:12" x14ac:dyDescent="0.25">
      <c r="A5" t="s">
        <v>55</v>
      </c>
      <c r="B5" t="s">
        <v>56</v>
      </c>
      <c r="C5" t="s">
        <v>57</v>
      </c>
      <c r="D5" t="s">
        <v>58</v>
      </c>
      <c r="E5" t="s">
        <v>90</v>
      </c>
    </row>
    <row r="6" spans="1:12" x14ac:dyDescent="0.25">
      <c r="A6">
        <v>0</v>
      </c>
      <c r="B6">
        <v>0</v>
      </c>
      <c r="C6">
        <v>0</v>
      </c>
      <c r="D6">
        <v>0</v>
      </c>
      <c r="E6">
        <v>0</v>
      </c>
    </row>
    <row r="8" spans="1:12" x14ac:dyDescent="0.25">
      <c r="A8" s="1" t="s">
        <v>87</v>
      </c>
      <c r="B8" t="s">
        <v>0</v>
      </c>
      <c r="C8" t="s">
        <v>1</v>
      </c>
      <c r="D8" t="s">
        <v>2</v>
      </c>
      <c r="E8" t="s">
        <v>3</v>
      </c>
      <c r="F8" t="s">
        <v>91</v>
      </c>
      <c r="G8" t="s">
        <v>92</v>
      </c>
      <c r="H8" t="s">
        <v>93</v>
      </c>
      <c r="I8" t="s">
        <v>94</v>
      </c>
      <c r="J8" t="s">
        <v>95</v>
      </c>
      <c r="K8" t="s">
        <v>96</v>
      </c>
      <c r="L8" t="s">
        <v>97</v>
      </c>
    </row>
    <row r="9" spans="1:12" x14ac:dyDescent="0.25">
      <c r="B9">
        <v>1</v>
      </c>
      <c r="C9">
        <v>0</v>
      </c>
      <c r="D9">
        <f>IF(AND(B3=1,E6=0),1,0)</f>
        <v>0</v>
      </c>
      <c r="E9">
        <f>IF(AND(B3=2,E6=0),1,0)</f>
        <v>0</v>
      </c>
      <c r="F9">
        <f>IF(AND(B2=1,E6=1),1,0)</f>
        <v>0</v>
      </c>
      <c r="G9">
        <f>IF(AND(B2=1,E6=2),1,0)</f>
        <v>0</v>
      </c>
      <c r="H9">
        <f>IF(AND(B2=1,E6=3),1,0)</f>
        <v>0</v>
      </c>
      <c r="I9">
        <f>IF(AND(B2=2,E6=1),1,0)</f>
        <v>0</v>
      </c>
      <c r="J9">
        <f>IF(AND(B2=2,E6=2),1,0)</f>
        <v>0</v>
      </c>
      <c r="K9">
        <f>IF(AND(B2=2,E6=3),1,0)</f>
        <v>0</v>
      </c>
      <c r="L9">
        <f>IF(AND(B2=2,E6=4),1,0)</f>
        <v>0</v>
      </c>
    </row>
    <row r="11" spans="1:12" x14ac:dyDescent="0.25">
      <c r="A11" s="1"/>
      <c r="B11" s="1" t="s">
        <v>146</v>
      </c>
      <c r="C11" s="10" t="s">
        <v>147</v>
      </c>
      <c r="D11" s="10" t="s">
        <v>148</v>
      </c>
      <c r="E11" s="10" t="s">
        <v>98</v>
      </c>
    </row>
    <row r="12" spans="1:12" x14ac:dyDescent="0.25">
      <c r="A12" s="9" t="s">
        <v>64</v>
      </c>
      <c r="C12" s="10"/>
      <c r="D12" s="10"/>
      <c r="E12" s="10"/>
    </row>
    <row r="13" spans="1:12" x14ac:dyDescent="0.25">
      <c r="A13" s="8" t="s">
        <v>65</v>
      </c>
      <c r="B13">
        <f>C13+D13+E13</f>
        <v>77.214984468038978</v>
      </c>
      <c r="C13" s="10">
        <f>SUM(B$9*'2023 components'!C5,C$9*'2023 components'!D5,D$9*'2023 components'!E5,E$9*'2023 components'!F5,F$9*'2023 components'!G5,G$9*'2023 components'!H5,H$9*'2023 components'!I5,I$9*'2023 components'!J5,J$9*'2023 components'!K5,K$9*'2023 components'!L5,L$9*'2023 components'!M5)</f>
        <v>77.214984468038978</v>
      </c>
      <c r="D13" s="10">
        <f>SUM(A$6*'2023 components'!N5,B$6*'2023 components'!O5,C$6*'2023 components'!P5,D$6*'2023 components'!Q5)</f>
        <v>0</v>
      </c>
      <c r="E13" s="10"/>
    </row>
    <row r="14" spans="1:12" x14ac:dyDescent="0.25">
      <c r="A14" s="8" t="s">
        <v>66</v>
      </c>
      <c r="B14">
        <f t="shared" ref="B14:B29" si="0">C14+D14+E14</f>
        <v>8.9660505857192909</v>
      </c>
      <c r="C14" s="10">
        <f>SUM(B$9*'2023 components'!C6,C$9*'2023 components'!D6,D$9*'2023 components'!E6,E$9*'2023 components'!F6,F$9*'2023 components'!G6,G$9*'2023 components'!H6,H$9*'2023 components'!I6,I$9*'2023 components'!J6,J$9*'2023 components'!K6,K$9*'2023 components'!L6,L$9*'2023 components'!M6)</f>
        <v>8.9660505857192909</v>
      </c>
      <c r="D14" s="10">
        <f>SUM(A$6*'2023 components'!N6,B$6*'2023 components'!O6,C$6*'2023 components'!P6,D$6*'2023 components'!Q6)</f>
        <v>0</v>
      </c>
      <c r="E14" s="10"/>
    </row>
    <row r="15" spans="1:12" x14ac:dyDescent="0.25">
      <c r="A15" s="8" t="s">
        <v>67</v>
      </c>
      <c r="B15">
        <f t="shared" si="0"/>
        <v>0</v>
      </c>
      <c r="C15" s="10">
        <f>SUM(B$9*'2023 components'!C7,C$9*'2023 components'!D7,D$9*'2023 components'!E7,E$9*'2023 components'!F7,F$9*'2023 components'!G7,G$9*'2023 components'!H7,H$9*'2023 components'!I7,I$9*'2023 components'!J7,J$9*'2023 components'!K7,K$9*'2023 components'!L7,L$9*'2023 components'!M7)</f>
        <v>0</v>
      </c>
      <c r="D15" s="10">
        <f>SUM(A$6*'2023 components'!N7,B$6*'2023 components'!O7,C$6*'2023 components'!P7,D$6*'2023 components'!Q7)</f>
        <v>0</v>
      </c>
      <c r="E15" s="10"/>
    </row>
    <row r="16" spans="1:12" x14ac:dyDescent="0.25">
      <c r="A16" s="8" t="s">
        <v>68</v>
      </c>
      <c r="B16">
        <f t="shared" si="0"/>
        <v>14.985907861917807</v>
      </c>
      <c r="C16" s="10">
        <f>SUM(B$9*'2023 components'!C8,C$9*'2023 components'!D8,D$9*'2023 components'!E8,E$9*'2023 components'!F8,F$9*'2023 components'!G8,G$9*'2023 components'!H8,H$9*'2023 components'!I8,I$9*'2023 components'!J8,J$9*'2023 components'!K8,K$9*'2023 components'!L8,L$9*'2023 components'!M8)</f>
        <v>14.985907861917807</v>
      </c>
      <c r="D16" s="10">
        <f>SUM(A$6*'2023 components'!N8,B$6*'2023 components'!O8,C$6*'2023 components'!P8,D$6*'2023 components'!Q8)</f>
        <v>0</v>
      </c>
      <c r="E16" s="10"/>
    </row>
    <row r="17" spans="1:11" x14ac:dyDescent="0.25">
      <c r="A17" s="8" t="s">
        <v>69</v>
      </c>
      <c r="B17">
        <f t="shared" si="0"/>
        <v>8.0627536334231795</v>
      </c>
      <c r="C17" s="10">
        <f>SUM(B$9*'2023 components'!C9,C$9*'2023 components'!D9,D$9*'2023 components'!E9,E$9*'2023 components'!F9,F$9*'2023 components'!G9,G$9*'2023 components'!H9,H$9*'2023 components'!I9,I$9*'2023 components'!J9,J$9*'2023 components'!K9,K$9*'2023 components'!L9,L$9*'2023 components'!M9)</f>
        <v>8.0627536334231795</v>
      </c>
      <c r="D17" s="10">
        <f>SUM(A$6*'2023 components'!N9,B$6*'2023 components'!O9,C$6*'2023 components'!P9,D$6*'2023 components'!Q9)</f>
        <v>0</v>
      </c>
      <c r="E17" s="10"/>
    </row>
    <row r="18" spans="1:11" x14ac:dyDescent="0.25">
      <c r="A18" s="8" t="s">
        <v>70</v>
      </c>
      <c r="B18">
        <f t="shared" si="0"/>
        <v>20.683399999999995</v>
      </c>
      <c r="C18" s="10">
        <f>SUM(B$9*'2023 components'!C10,C$9*'2023 components'!D10,D$9*'2023 components'!E10,E$9*'2023 components'!F10,F$9*'2023 components'!G10,G$9*'2023 components'!H10,H$9*'2023 components'!I10,I$9*'2023 components'!J10,J$9*'2023 components'!K10,K$9*'2023 components'!L10,L$9*'2023 components'!M10)</f>
        <v>20.683399999999995</v>
      </c>
      <c r="D18" s="10">
        <f>SUM(A$6*'2023 components'!N10,B$6*'2023 components'!O10,C$6*'2023 components'!P10,D$6*'2023 components'!Q10)</f>
        <v>0</v>
      </c>
      <c r="E18" s="10"/>
    </row>
    <row r="19" spans="1:11" x14ac:dyDescent="0.25">
      <c r="A19" s="8" t="s">
        <v>71</v>
      </c>
      <c r="B19">
        <f t="shared" si="0"/>
        <v>1.7450245541483591</v>
      </c>
      <c r="C19" s="10">
        <f>SUM(B$9*'2023 components'!C11,C$9*'2023 components'!D11,D$9*'2023 components'!E11,E$9*'2023 components'!F11,F$9*'2023 components'!G11,G$9*'2023 components'!H11,H$9*'2023 components'!I11,I$9*'2023 components'!J11,J$9*'2023 components'!K11,K$9*'2023 components'!L11,L$9*'2023 components'!M11)</f>
        <v>1.7450245541483591</v>
      </c>
      <c r="D19" s="10">
        <f>SUM(A$6*'2023 components'!N11,B$6*'2023 components'!O11,C$6*'2023 components'!P11,D$6*'2023 components'!Q11)</f>
        <v>0</v>
      </c>
      <c r="E19" s="10"/>
    </row>
    <row r="20" spans="1:11" x14ac:dyDescent="0.25">
      <c r="A20" s="8" t="s">
        <v>72</v>
      </c>
      <c r="B20">
        <f t="shared" si="0"/>
        <v>40.152674943835613</v>
      </c>
      <c r="C20" s="10">
        <f>SUM(B$9*'2023 components'!C12,C$9*'2023 components'!D12,D$9*'2023 components'!E12,E$9*'2023 components'!F12,F$9*'2023 components'!G12,G$9*'2023 components'!H12,H$9*'2023 components'!I12,I$9*'2023 components'!J12,J$9*'2023 components'!K12,K$9*'2023 components'!L12,L$9*'2023 components'!M12)</f>
        <v>40.152674943835613</v>
      </c>
      <c r="D20" s="10">
        <f>SUM(A$6*'2023 components'!N12,B$6*'2023 components'!O12,C$6*'2023 components'!P12,D$6*'2023 components'!Q12)</f>
        <v>0</v>
      </c>
      <c r="E20" s="10">
        <f>K41</f>
        <v>0</v>
      </c>
    </row>
    <row r="21" spans="1:11" x14ac:dyDescent="0.25">
      <c r="A21" s="8" t="s">
        <v>73</v>
      </c>
      <c r="B21">
        <f t="shared" si="0"/>
        <v>2.0144754201447532</v>
      </c>
      <c r="C21" s="10">
        <f>SUM(B$9*'2023 components'!C13,C$9*'2023 components'!D13,D$9*'2023 components'!E13,E$9*'2023 components'!F13,F$9*'2023 components'!G13,G$9*'2023 components'!H13,H$9*'2023 components'!I13,I$9*'2023 components'!J13,J$9*'2023 components'!K13,K$9*'2023 components'!L13,L$9*'2023 components'!M13)</f>
        <v>2.0144754201447532</v>
      </c>
      <c r="D21" s="10">
        <f>SUM(A$6*'2023 components'!N13,B$6*'2023 components'!O13,C$6*'2023 components'!P13,D$6*'2023 components'!Q13)</f>
        <v>0</v>
      </c>
      <c r="E21" s="10"/>
    </row>
    <row r="22" spans="1:11" x14ac:dyDescent="0.25">
      <c r="A22" s="8" t="s">
        <v>74</v>
      </c>
      <c r="B22">
        <f t="shared" si="0"/>
        <v>15.834541678796384</v>
      </c>
      <c r="C22" s="10">
        <f>SUM(B$9*'2023 components'!C14,C$9*'2023 components'!D14,D$9*'2023 components'!E14,E$9*'2023 components'!F14,F$9*'2023 components'!G14,G$9*'2023 components'!H14,H$9*'2023 components'!I14,I$9*'2023 components'!J14,J$9*'2023 components'!K14,K$9*'2023 components'!L14,L$9*'2023 components'!M14)</f>
        <v>15.834541678796384</v>
      </c>
      <c r="D22" s="10">
        <f>SUM(A$6*'2023 components'!N14,B$6*'2023 components'!O14,C$6*'2023 components'!P14,D$6*'2023 components'!Q14)</f>
        <v>0</v>
      </c>
      <c r="E22" s="10">
        <f>SUM(M41:Q41)</f>
        <v>0</v>
      </c>
    </row>
    <row r="23" spans="1:11" x14ac:dyDescent="0.25">
      <c r="A23" s="8" t="s">
        <v>75</v>
      </c>
      <c r="B23">
        <f t="shared" si="0"/>
        <v>8.9230377534475291</v>
      </c>
      <c r="C23" s="10">
        <f>SUM(B$9*'2023 components'!C15,C$9*'2023 components'!D15,D$9*'2023 components'!E15,E$9*'2023 components'!F15,F$9*'2023 components'!G15,G$9*'2023 components'!H15,H$9*'2023 components'!I15,I$9*'2023 components'!J15,J$9*'2023 components'!K15,K$9*'2023 components'!L15,L$9*'2023 components'!M15)</f>
        <v>8.9230377534475291</v>
      </c>
      <c r="D23" s="10">
        <f>SUM(A$6*'2023 components'!N15,B$6*'2023 components'!O15,C$6*'2023 components'!P15,D$6*'2023 components'!Q15)</f>
        <v>0</v>
      </c>
      <c r="E23" s="10"/>
    </row>
    <row r="24" spans="1:11" x14ac:dyDescent="0.25">
      <c r="A24" s="8" t="s">
        <v>76</v>
      </c>
      <c r="B24">
        <f t="shared" si="0"/>
        <v>0</v>
      </c>
      <c r="C24" s="10">
        <f>SUM(B$9*'2023 components'!C16,C$9*'2023 components'!D16,D$9*'2023 components'!E16,E$9*'2023 components'!F16,F$9*'2023 components'!G16,G$9*'2023 components'!H16,H$9*'2023 components'!I16,I$9*'2023 components'!J16,J$9*'2023 components'!K16,K$9*'2023 components'!L16,L$9*'2023 components'!M16)</f>
        <v>0</v>
      </c>
      <c r="D24" s="10">
        <f>SUM(A$6*'2023 components'!N16,B$6*'2023 components'!O16,C$6*'2023 components'!P16,D$6*'2023 components'!Q16)</f>
        <v>0</v>
      </c>
      <c r="E24" s="10">
        <f>SUM(E41:J41)</f>
        <v>0</v>
      </c>
    </row>
    <row r="25" spans="1:11" x14ac:dyDescent="0.25">
      <c r="A25" s="8" t="s">
        <v>77</v>
      </c>
      <c r="B25">
        <f t="shared" si="0"/>
        <v>28.485039342188983</v>
      </c>
      <c r="C25" s="10">
        <f>SUM(B$9*'2023 components'!C17,C$9*'2023 components'!D17,D$9*'2023 components'!E17,E$9*'2023 components'!F17,F$9*'2023 components'!G17,G$9*'2023 components'!H17,H$9*'2023 components'!I17,I$9*'2023 components'!J17,J$9*'2023 components'!K17,K$9*'2023 components'!L17,L$9*'2023 components'!M17)</f>
        <v>28.485039342188983</v>
      </c>
      <c r="D25" s="10">
        <f>SUM(A$6*'2023 components'!N17,B$6*'2023 components'!O17,C$6*'2023 components'!P17,D$6*'2023 components'!Q17)</f>
        <v>0</v>
      </c>
      <c r="E25" s="10">
        <f>SUM(T41:W41)</f>
        <v>0</v>
      </c>
    </row>
    <row r="26" spans="1:11" x14ac:dyDescent="0.25">
      <c r="A26" s="8" t="s">
        <v>10</v>
      </c>
      <c r="B26">
        <f t="shared" si="0"/>
        <v>0</v>
      </c>
      <c r="C26" s="10">
        <f>SUM(B$9*'2023 components'!C18,C$9*'2023 components'!D18,D$9*'2023 components'!E18,E$9*'2023 components'!F18,F$9*'2023 components'!G18,G$9*'2023 components'!H18,H$9*'2023 components'!I18,I$9*'2023 components'!J18,J$9*'2023 components'!K18,K$9*'2023 components'!L18,L$9*'2023 components'!M18)</f>
        <v>0</v>
      </c>
      <c r="D26" s="10">
        <f>SUM(A$6*'2023 components'!N18,B$6*'2023 components'!O18,C$6*'2023 components'!P18,D$6*'2023 components'!Q18)</f>
        <v>0</v>
      </c>
      <c r="E26" s="10">
        <f>AD48</f>
        <v>0</v>
      </c>
    </row>
    <row r="27" spans="1:11" x14ac:dyDescent="0.25">
      <c r="A27" s="8" t="s">
        <v>78</v>
      </c>
      <c r="B27">
        <f t="shared" si="0"/>
        <v>34.790950386826616</v>
      </c>
      <c r="C27">
        <f>I27+I28</f>
        <v>34.790950386826616</v>
      </c>
      <c r="D27">
        <f t="shared" ref="D27:E27" si="1">J27+J28</f>
        <v>0</v>
      </c>
      <c r="E27">
        <f t="shared" si="1"/>
        <v>0</v>
      </c>
      <c r="G27" t="s">
        <v>169</v>
      </c>
      <c r="H27">
        <f>I27+J27+K27</f>
        <v>23.829143303286259</v>
      </c>
      <c r="I27" s="10">
        <f>SUM(B$9*'2023 components'!C19,C$9*'2023 components'!D19,D$9*'2023 components'!E19,E$9*'2023 components'!F19,F$9*'2023 components'!G19,G$9*'2023 components'!H19,H$9*'2023 components'!I19,I$9*'2023 components'!J19,J$9*'2023 components'!K19,K$9*'2023 components'!L19,L$9*'2023 components'!M19)</f>
        <v>23.829143303286259</v>
      </c>
      <c r="J27" s="10">
        <f>SUM(A$6*'2023 components'!N19,B$6*'2023 components'!O19,C$6*'2023 components'!P19,D$6*'2023 components'!Q19)</f>
        <v>0</v>
      </c>
      <c r="K27" s="10"/>
    </row>
    <row r="28" spans="1:11" x14ac:dyDescent="0.25">
      <c r="A28" s="8" t="s">
        <v>79</v>
      </c>
      <c r="B28">
        <f t="shared" si="0"/>
        <v>67.970900182591137</v>
      </c>
      <c r="C28" s="10">
        <f>SUM(B$9*'2023 components'!C21,C$9*'2023 components'!D21,D$9*'2023 components'!E21,E$9*'2023 components'!F21,F$9*'2023 components'!G21,G$9*'2023 components'!H21,H$9*'2023 components'!I21,I$9*'2023 components'!J21,J$9*'2023 components'!K21,K$9*'2023 components'!L21,L$9*'2023 components'!M21)</f>
        <v>67.970900182591137</v>
      </c>
      <c r="D28" s="10">
        <f>SUM(A$6*'2023 components'!N21,B$6*'2023 components'!O21,C$6*'2023 components'!P21,D$6*'2023 components'!Q21)</f>
        <v>0</v>
      </c>
      <c r="E28" s="10">
        <f>SUM(X41:AA41)+SUM(AM41:AP41)</f>
        <v>0</v>
      </c>
      <c r="G28" t="s">
        <v>170</v>
      </c>
      <c r="H28">
        <f>I28+J28+K28</f>
        <v>10.961807083540355</v>
      </c>
      <c r="I28" s="10">
        <f>SUM(B$9*'2023 components'!C20,C$9*'2023 components'!D20,D$9*'2023 components'!E20,E$9*'2023 components'!F20,F$9*'2023 components'!G20,G$9*'2023 components'!H20,H$9*'2023 components'!I20,I$9*'2023 components'!J20,J$9*'2023 components'!K20,K$9*'2023 components'!L20,L$9*'2023 components'!M20)</f>
        <v>10.961807083540355</v>
      </c>
      <c r="J28" s="10">
        <f>SUM(A$6*'2023 components'!N20,B$6*'2023 components'!O20,C$6*'2023 components'!P20,D$6*'2023 components'!Q20)</f>
        <v>0</v>
      </c>
      <c r="K28" s="10"/>
    </row>
    <row r="29" spans="1:11" x14ac:dyDescent="0.25">
      <c r="A29" s="8" t="s">
        <v>80</v>
      </c>
      <c r="B29">
        <f t="shared" si="0"/>
        <v>110.75981735159819</v>
      </c>
      <c r="C29" s="10">
        <f>SUM(B$9*'2023 components'!C22,C$9*'2023 components'!D22,D$9*'2023 components'!E22,E$9*'2023 components'!F22,F$9*'2023 components'!G22,G$9*'2023 components'!H22,H$9*'2023 components'!I22,I$9*'2023 components'!J22,J$9*'2023 components'!K22,K$9*'2023 components'!L22,L$9*'2023 components'!M22)</f>
        <v>110.75981735159819</v>
      </c>
      <c r="D29" s="10">
        <f>SUM(A$6*'2023 components'!N22,B$6*'2023 components'!O22,C$6*'2023 components'!P22,D$6*'2023 components'!Q22)</f>
        <v>0</v>
      </c>
      <c r="E29" s="10"/>
    </row>
    <row r="30" spans="1:11" x14ac:dyDescent="0.25">
      <c r="E30" s="10"/>
    </row>
    <row r="33" spans="1:47" x14ac:dyDescent="0.25">
      <c r="A33" s="11" t="s">
        <v>78</v>
      </c>
      <c r="B33" s="11" t="s">
        <v>149</v>
      </c>
      <c r="C33" s="11">
        <f>SUM(B$9*'2023 components'!C17,C$9*'2023 components'!D17,D$9*'2023 components'!E17,E$9*'2023 components'!F17,F$9*'2023 components'!G17,G$9*'2023 components'!H17,H$9*'2023 components'!I17,I$9*'2023 components'!J17,J$9*'2023 components'!K17,K$9*'2023 components'!L17,L$9*'2023 components'!M17)</f>
        <v>28.485039342188983</v>
      </c>
      <c r="D33" s="10">
        <f>SUM(A$6*'2023 components'!N17,B$6*'2023 components'!O17,C$6*'2023 components'!P17,D$6*'2023 components'!Q17)</f>
        <v>0</v>
      </c>
    </row>
    <row r="34" spans="1:47" x14ac:dyDescent="0.25">
      <c r="A34" s="11"/>
      <c r="B34" s="11" t="s">
        <v>150</v>
      </c>
      <c r="C34" s="11">
        <f>SUM(B$9*'2023 components'!C18,C$9*'2023 components'!D18,D$9*'2023 components'!E18,E$9*'2023 components'!F18,F$9*'2023 components'!G18,G$9*'2023 components'!H18,H$9*'2023 components'!I18,I$9*'2023 components'!J18,J$9*'2023 components'!K18,K$9*'2023 components'!L18,L$9*'2023 components'!M18)</f>
        <v>0</v>
      </c>
      <c r="D34" s="10">
        <f>SUM(A$6*'2023 components'!N18,B$6*'2023 components'!O18,C$6*'2023 components'!P18,D$6*'2023 components'!Q18)</f>
        <v>0</v>
      </c>
    </row>
    <row r="35" spans="1:47" x14ac:dyDescent="0.25">
      <c r="A35" s="11"/>
      <c r="B35" s="11" t="s">
        <v>151</v>
      </c>
      <c r="C35" s="11">
        <f>C33+C34</f>
        <v>28.485039342188983</v>
      </c>
      <c r="D35" s="11">
        <f>D33+D34</f>
        <v>0</v>
      </c>
    </row>
    <row r="37" spans="1:47" ht="45" x14ac:dyDescent="0.25">
      <c r="E37" t="s">
        <v>28</v>
      </c>
      <c r="F37" t="s">
        <v>29</v>
      </c>
      <c r="G37" t="s">
        <v>30</v>
      </c>
      <c r="H37" t="s">
        <v>31</v>
      </c>
      <c r="I37" t="s">
        <v>32</v>
      </c>
      <c r="J37" t="s">
        <v>33</v>
      </c>
      <c r="K37" t="s">
        <v>34</v>
      </c>
      <c r="L37" t="s">
        <v>35</v>
      </c>
      <c r="M37" t="s">
        <v>36</v>
      </c>
      <c r="N37" t="s">
        <v>37</v>
      </c>
      <c r="O37" t="s">
        <v>38</v>
      </c>
      <c r="P37" t="s">
        <v>39</v>
      </c>
      <c r="Q37" t="s">
        <v>40</v>
      </c>
      <c r="R37" t="s">
        <v>41</v>
      </c>
      <c r="S37" t="s">
        <v>42</v>
      </c>
      <c r="T37" t="s">
        <v>39</v>
      </c>
      <c r="U37" t="s">
        <v>40</v>
      </c>
      <c r="V37" t="s">
        <v>99</v>
      </c>
      <c r="W37" s="3" t="s">
        <v>44</v>
      </c>
      <c r="X37" t="s">
        <v>100</v>
      </c>
      <c r="Y37" t="s">
        <v>101</v>
      </c>
      <c r="Z37" t="s">
        <v>102</v>
      </c>
      <c r="AA37" t="s">
        <v>48</v>
      </c>
      <c r="AB37" t="s">
        <v>49</v>
      </c>
      <c r="AC37" t="s">
        <v>50</v>
      </c>
      <c r="AD37" t="s">
        <v>51</v>
      </c>
      <c r="AE37" t="s">
        <v>52</v>
      </c>
      <c r="AF37" t="s">
        <v>53</v>
      </c>
      <c r="AG37" t="s">
        <v>54</v>
      </c>
      <c r="AH37" t="s">
        <v>55</v>
      </c>
      <c r="AI37" t="s">
        <v>56</v>
      </c>
      <c r="AJ37" t="s">
        <v>57</v>
      </c>
      <c r="AK37" t="s">
        <v>58</v>
      </c>
      <c r="AL37" t="s">
        <v>145</v>
      </c>
      <c r="AM37" t="s">
        <v>60</v>
      </c>
      <c r="AN37" t="s">
        <v>61</v>
      </c>
      <c r="AO37" t="s">
        <v>62</v>
      </c>
      <c r="AP37" t="s">
        <v>63</v>
      </c>
      <c r="AT37" t="s">
        <v>144</v>
      </c>
    </row>
    <row r="38" spans="1:47" ht="45" x14ac:dyDescent="0.25">
      <c r="D38" s="12" t="s">
        <v>152</v>
      </c>
      <c r="E38" t="s">
        <v>103</v>
      </c>
      <c r="F38" t="s">
        <v>104</v>
      </c>
      <c r="G38" t="s">
        <v>105</v>
      </c>
      <c r="H38" t="s">
        <v>106</v>
      </c>
      <c r="I38" t="s">
        <v>107</v>
      </c>
      <c r="J38" t="s">
        <v>108</v>
      </c>
      <c r="K38" t="s">
        <v>109</v>
      </c>
      <c r="L38" t="s">
        <v>110</v>
      </c>
      <c r="M38" t="s">
        <v>111</v>
      </c>
      <c r="N38" t="s">
        <v>112</v>
      </c>
      <c r="O38" t="s">
        <v>113</v>
      </c>
      <c r="P38" t="s">
        <v>114</v>
      </c>
      <c r="Q38" t="s">
        <v>115</v>
      </c>
      <c r="R38" t="s">
        <v>116</v>
      </c>
      <c r="S38" t="s">
        <v>117</v>
      </c>
      <c r="T38" t="s">
        <v>118</v>
      </c>
      <c r="U38" t="s">
        <v>119</v>
      </c>
      <c r="V38" t="s">
        <v>120</v>
      </c>
      <c r="W38" t="s">
        <v>121</v>
      </c>
      <c r="X38" t="s">
        <v>122</v>
      </c>
      <c r="Y38" t="s">
        <v>123</v>
      </c>
      <c r="Z38" t="s">
        <v>124</v>
      </c>
      <c r="AA38" t="s">
        <v>125</v>
      </c>
      <c r="AB38" t="s">
        <v>126</v>
      </c>
      <c r="AC38" t="s">
        <v>127</v>
      </c>
      <c r="AD38" t="s">
        <v>128</v>
      </c>
      <c r="AE38" t="s">
        <v>129</v>
      </c>
      <c r="AF38" t="s">
        <v>130</v>
      </c>
      <c r="AG38" t="s">
        <v>131</v>
      </c>
      <c r="AH38" t="s">
        <v>132</v>
      </c>
      <c r="AI38" t="s">
        <v>133</v>
      </c>
      <c r="AJ38" t="s">
        <v>134</v>
      </c>
      <c r="AK38" t="s">
        <v>135</v>
      </c>
      <c r="AL38" t="s">
        <v>136</v>
      </c>
      <c r="AM38" t="s">
        <v>137</v>
      </c>
      <c r="AN38" t="s">
        <v>138</v>
      </c>
      <c r="AO38" t="s">
        <v>139</v>
      </c>
      <c r="AP38" t="s">
        <v>140</v>
      </c>
      <c r="AT38" t="s">
        <v>142</v>
      </c>
      <c r="AU38">
        <f>IF(AND(E6&gt;0,AU39=0),1,0)</f>
        <v>0</v>
      </c>
    </row>
    <row r="39" spans="1:47" x14ac:dyDescent="0.25">
      <c r="D39" s="1" t="s">
        <v>160</v>
      </c>
      <c r="E39">
        <f>IF(AND(C6&gt;0,(B6+C6=0)),1,0)</f>
        <v>0</v>
      </c>
      <c r="F39">
        <f>C6-E39</f>
        <v>0</v>
      </c>
      <c r="G39">
        <f>IF(A6&gt;0,1,0)</f>
        <v>0</v>
      </c>
      <c r="H39">
        <f>A6-G39</f>
        <v>0</v>
      </c>
      <c r="I39">
        <f>IF(AND(A6=0,B6&gt;0),1,0)</f>
        <v>0</v>
      </c>
      <c r="J39">
        <f>B6-I39</f>
        <v>0</v>
      </c>
      <c r="K39">
        <f>IF(AND(C6+D6&gt;0,A6+B6=0),1,0)</f>
        <v>0</v>
      </c>
      <c r="M39">
        <f>IF(A6&gt;0,1,0)</f>
        <v>0</v>
      </c>
      <c r="N39">
        <f>IF(B6&gt;0,1,0)</f>
        <v>0</v>
      </c>
      <c r="O39">
        <f>IF(C6&gt;0,1,0)</f>
        <v>0</v>
      </c>
      <c r="P39">
        <f>IF(A6+B6&gt;0,1,0)</f>
        <v>0</v>
      </c>
      <c r="Q39">
        <f>IF(A6+B6+C6&gt;0,1,0)</f>
        <v>0</v>
      </c>
      <c r="T39">
        <f>P39</f>
        <v>0</v>
      </c>
      <c r="U39">
        <f>Q39</f>
        <v>0</v>
      </c>
      <c r="V39">
        <f>IF(B6+C6&gt;0,1,0)</f>
        <v>0</v>
      </c>
      <c r="W39">
        <f>IF(A6+B6&gt;1,1,0)</f>
        <v>0</v>
      </c>
      <c r="X39">
        <f>IF(A6+B6+D6&gt;0,1,0)</f>
        <v>0</v>
      </c>
      <c r="Y39">
        <f>O39</f>
        <v>0</v>
      </c>
      <c r="Z39">
        <f>IF(D6&gt;0,1,0)</f>
        <v>0</v>
      </c>
      <c r="AA39">
        <f>IF(D6&gt;1,1,0)</f>
        <v>0</v>
      </c>
      <c r="AB39">
        <f>IF(AU38=1,1,0)</f>
        <v>0</v>
      </c>
      <c r="AC39">
        <f>AB39</f>
        <v>0</v>
      </c>
      <c r="AD39">
        <f>IF(AU39=1,1,0)</f>
        <v>0</v>
      </c>
      <c r="AE39">
        <f>AD39</f>
        <v>0</v>
      </c>
      <c r="AF39">
        <f>IF(SUM(s!F9:H9)=1,1,0)</f>
        <v>0</v>
      </c>
      <c r="AG39">
        <f>IF(AND(E6&gt;0,AF39=0),1,0)</f>
        <v>0</v>
      </c>
      <c r="AH39">
        <f>A6</f>
        <v>0</v>
      </c>
      <c r="AI39">
        <f>B6</f>
        <v>0</v>
      </c>
      <c r="AJ39">
        <f>C6</f>
        <v>0</v>
      </c>
      <c r="AK39">
        <f>D6</f>
        <v>0</v>
      </c>
      <c r="AM39">
        <f>IF(AND(OR(E6=1,E6=2),C6+D6&gt;0),1,0)</f>
        <v>0</v>
      </c>
      <c r="AN39">
        <f>IF(AND(OR(E6=1,E6=2),C6+D6=0),1,0)</f>
        <v>0</v>
      </c>
      <c r="AO39">
        <f>IF(AND(E6&gt;2,C6+D6&gt;0),1,0)</f>
        <v>0</v>
      </c>
      <c r="AP39">
        <f>IF(AND(E6&gt;2,C6+D6=0),1,0)</f>
        <v>0</v>
      </c>
      <c r="AT39" t="s">
        <v>143</v>
      </c>
      <c r="AU39">
        <f>IF(OR(L9=1,AND(K9=1,D6&gt;0)),1,0)</f>
        <v>0</v>
      </c>
    </row>
    <row r="40" spans="1:47" x14ac:dyDescent="0.25">
      <c r="D40" s="1" t="s">
        <v>153</v>
      </c>
      <c r="E40">
        <f>'2023 components'!R16</f>
        <v>97.808191506804391</v>
      </c>
      <c r="F40">
        <f>'2023 components'!S16</f>
        <v>97.808191506804391</v>
      </c>
      <c r="G40">
        <f>'2023 components'!T16</f>
        <v>286.44531759360001</v>
      </c>
      <c r="H40">
        <f>'2023 components'!U16</f>
        <v>286.44531759360001</v>
      </c>
      <c r="I40">
        <f>'2023 components'!V16</f>
        <v>149.5269997794</v>
      </c>
      <c r="J40">
        <f>'2023 components'!W16</f>
        <v>149.5269997794</v>
      </c>
      <c r="K40">
        <f>'2023 components'!X12</f>
        <v>0</v>
      </c>
      <c r="M40">
        <f>'2023 components'!Z14</f>
        <v>0.37155333390804135</v>
      </c>
      <c r="N40">
        <f>'2023 components'!AA14</f>
        <v>0.20981061908861412</v>
      </c>
      <c r="O40">
        <f>'2023 components'!AB14</f>
        <v>2.765499223273549E-2</v>
      </c>
      <c r="P40">
        <f>'2023 components'!AC14</f>
        <v>0.45757058606196299</v>
      </c>
      <c r="Q40">
        <f>'2023 components'!AD14</f>
        <v>0</v>
      </c>
      <c r="T40">
        <f>'2023 components'!AG17</f>
        <v>0.4427448878615744</v>
      </c>
      <c r="U40">
        <f>'2023 components'!AH17</f>
        <v>2.2037157368483872E-3</v>
      </c>
      <c r="V40">
        <f>'2023 components'!AI17</f>
        <v>4.1756156794292863E-2</v>
      </c>
      <c r="W40">
        <f>'2023 components'!AJ17</f>
        <v>1.0010745187572745</v>
      </c>
      <c r="X40">
        <f>'2023 components'!AK21</f>
        <v>1.7708063721874043</v>
      </c>
      <c r="Y40">
        <f>'2023 components'!AL21</f>
        <v>0</v>
      </c>
      <c r="Z40">
        <f>'2023 components'!AM21</f>
        <v>0</v>
      </c>
      <c r="AA40">
        <f>'2023 components'!AN21</f>
        <v>0</v>
      </c>
      <c r="AB40">
        <f>'2023 components'!AO18</f>
        <v>47.585682423790196</v>
      </c>
      <c r="AC40">
        <f>'2023 components'!AP18</f>
        <v>0.15373698674784678</v>
      </c>
      <c r="AD40">
        <f>'2023 components'!AQ18</f>
        <v>40.949750209232455</v>
      </c>
      <c r="AE40">
        <f>'2023 components'!AR18</f>
        <v>0.28419018572091292</v>
      </c>
      <c r="AF40">
        <f>'2023 components'!AS18</f>
        <v>157.17560741575514</v>
      </c>
      <c r="AG40">
        <f>'2023 components'!AT18</f>
        <v>161.25115699804385</v>
      </c>
      <c r="AH40">
        <f>'2023 components'!AU18</f>
        <v>20.911062685354459</v>
      </c>
      <c r="AI40">
        <f>'2023 components'!AV18</f>
        <v>22.813034342203263</v>
      </c>
      <c r="AJ40">
        <f>'2023 components'!AW18</f>
        <v>34.309868603155259</v>
      </c>
      <c r="AK40">
        <f>'2023 components'!AX18</f>
        <v>14.47198545602275</v>
      </c>
      <c r="AM40">
        <f>'2023 components'!AZ21</f>
        <v>20.245142765795233</v>
      </c>
      <c r="AN40">
        <f>'2023 components'!BA21</f>
        <v>8.1296785617668021</v>
      </c>
      <c r="AO40">
        <f>'2023 components'!BB21</f>
        <v>24.321346007230513</v>
      </c>
      <c r="AP40">
        <f>'2023 components'!BC21</f>
        <v>10.284878384692947</v>
      </c>
    </row>
    <row r="41" spans="1:47" x14ac:dyDescent="0.25">
      <c r="D41" s="1" t="s">
        <v>159</v>
      </c>
      <c r="E41" s="1">
        <f>E39*E40</f>
        <v>0</v>
      </c>
      <c r="F41" s="1">
        <f t="shared" ref="F41:AP41" si="2">F39*F40</f>
        <v>0</v>
      </c>
      <c r="G41" s="1">
        <f t="shared" si="2"/>
        <v>0</v>
      </c>
      <c r="H41" s="1">
        <f t="shared" si="2"/>
        <v>0</v>
      </c>
      <c r="I41" s="1">
        <f t="shared" si="2"/>
        <v>0</v>
      </c>
      <c r="J41" s="1">
        <f t="shared" si="2"/>
        <v>0</v>
      </c>
      <c r="K41" s="1">
        <f t="shared" si="2"/>
        <v>0</v>
      </c>
      <c r="L41" s="1">
        <f t="shared" si="2"/>
        <v>0</v>
      </c>
      <c r="M41" s="1">
        <f t="shared" si="2"/>
        <v>0</v>
      </c>
      <c r="N41" s="1">
        <f t="shared" si="2"/>
        <v>0</v>
      </c>
      <c r="O41" s="1">
        <f t="shared" si="2"/>
        <v>0</v>
      </c>
      <c r="P41" s="1">
        <f t="shared" si="2"/>
        <v>0</v>
      </c>
      <c r="Q41" s="1">
        <f t="shared" si="2"/>
        <v>0</v>
      </c>
      <c r="R41" s="1">
        <f t="shared" si="2"/>
        <v>0</v>
      </c>
      <c r="S41" s="1">
        <f t="shared" si="2"/>
        <v>0</v>
      </c>
      <c r="T41" s="1">
        <f t="shared" si="2"/>
        <v>0</v>
      </c>
      <c r="U41" s="1">
        <f t="shared" si="2"/>
        <v>0</v>
      </c>
      <c r="V41" s="1">
        <f t="shared" si="2"/>
        <v>0</v>
      </c>
      <c r="W41" s="1">
        <f t="shared" si="2"/>
        <v>0</v>
      </c>
      <c r="X41" s="1">
        <f t="shared" si="2"/>
        <v>0</v>
      </c>
      <c r="Y41" s="1">
        <f t="shared" si="2"/>
        <v>0</v>
      </c>
      <c r="Z41" s="1">
        <f t="shared" si="2"/>
        <v>0</v>
      </c>
      <c r="AA41" s="1">
        <f t="shared" si="2"/>
        <v>0</v>
      </c>
      <c r="AB41" s="1">
        <f t="shared" si="2"/>
        <v>0</v>
      </c>
      <c r="AC41" s="1">
        <f t="shared" si="2"/>
        <v>0</v>
      </c>
      <c r="AD41" s="1">
        <f t="shared" si="2"/>
        <v>0</v>
      </c>
      <c r="AE41" s="1">
        <f t="shared" si="2"/>
        <v>0</v>
      </c>
      <c r="AF41" s="1">
        <f t="shared" si="2"/>
        <v>0</v>
      </c>
      <c r="AG41" s="1">
        <f t="shared" si="2"/>
        <v>0</v>
      </c>
      <c r="AH41" s="1">
        <f t="shared" si="2"/>
        <v>0</v>
      </c>
      <c r="AI41" s="1">
        <f t="shared" si="2"/>
        <v>0</v>
      </c>
      <c r="AJ41" s="1">
        <f t="shared" si="2"/>
        <v>0</v>
      </c>
      <c r="AK41" s="1">
        <f t="shared" si="2"/>
        <v>0</v>
      </c>
      <c r="AL41" s="1">
        <f t="shared" si="2"/>
        <v>0</v>
      </c>
      <c r="AM41" s="1">
        <f t="shared" si="2"/>
        <v>0</v>
      </c>
      <c r="AN41" s="1">
        <f t="shared" si="2"/>
        <v>0</v>
      </c>
      <c r="AO41" s="1">
        <f t="shared" si="2"/>
        <v>0</v>
      </c>
      <c r="AP41" s="1">
        <f t="shared" si="2"/>
        <v>0</v>
      </c>
    </row>
    <row r="42" spans="1:47" x14ac:dyDescent="0.25">
      <c r="D42" s="1" t="s">
        <v>87</v>
      </c>
      <c r="E42" t="s">
        <v>76</v>
      </c>
      <c r="F42" t="s">
        <v>76</v>
      </c>
      <c r="G42" t="s">
        <v>76</v>
      </c>
      <c r="H42" t="s">
        <v>76</v>
      </c>
      <c r="I42" t="s">
        <v>76</v>
      </c>
      <c r="J42" t="s">
        <v>76</v>
      </c>
      <c r="K42" t="s">
        <v>72</v>
      </c>
      <c r="M42" t="s">
        <v>7</v>
      </c>
      <c r="N42" t="s">
        <v>7</v>
      </c>
      <c r="O42" t="s">
        <v>7</v>
      </c>
      <c r="P42" t="s">
        <v>7</v>
      </c>
      <c r="Q42" t="s">
        <v>7</v>
      </c>
      <c r="T42" t="s">
        <v>154</v>
      </c>
      <c r="U42" t="s">
        <v>154</v>
      </c>
      <c r="V42" t="s">
        <v>154</v>
      </c>
      <c r="W42" t="s">
        <v>154</v>
      </c>
      <c r="X42" t="s">
        <v>155</v>
      </c>
      <c r="Y42" t="s">
        <v>155</v>
      </c>
      <c r="Z42" t="s">
        <v>155</v>
      </c>
      <c r="AA42" t="s">
        <v>155</v>
      </c>
      <c r="AB42" t="s">
        <v>10</v>
      </c>
      <c r="AC42" t="s">
        <v>10</v>
      </c>
      <c r="AD42" t="s">
        <v>10</v>
      </c>
      <c r="AE42" t="s">
        <v>10</v>
      </c>
      <c r="AF42" t="s">
        <v>10</v>
      </c>
      <c r="AG42" t="s">
        <v>10</v>
      </c>
      <c r="AH42" t="s">
        <v>10</v>
      </c>
      <c r="AI42" t="s">
        <v>10</v>
      </c>
      <c r="AJ42" t="s">
        <v>10</v>
      </c>
      <c r="AK42" t="s">
        <v>10</v>
      </c>
      <c r="AM42" t="s">
        <v>155</v>
      </c>
      <c r="AN42" t="s">
        <v>155</v>
      </c>
      <c r="AO42" t="s">
        <v>155</v>
      </c>
      <c r="AP42" t="s">
        <v>155</v>
      </c>
    </row>
    <row r="44" spans="1:47" x14ac:dyDescent="0.25">
      <c r="AC44" t="s">
        <v>156</v>
      </c>
    </row>
    <row r="45" spans="1:47" x14ac:dyDescent="0.25">
      <c r="AC45" t="s">
        <v>157</v>
      </c>
      <c r="AD45">
        <f>AB41+AD41</f>
        <v>0</v>
      </c>
    </row>
    <row r="46" spans="1:47" x14ac:dyDescent="0.25">
      <c r="AC46" t="s">
        <v>11</v>
      </c>
      <c r="AD46">
        <f>SUM(AF41:AK41)</f>
        <v>0</v>
      </c>
    </row>
    <row r="47" spans="1:47" x14ac:dyDescent="0.25">
      <c r="AC47" t="s">
        <v>158</v>
      </c>
      <c r="AD47">
        <f>SUM(AC41,AE41)*AD46</f>
        <v>0</v>
      </c>
    </row>
    <row r="48" spans="1:47" x14ac:dyDescent="0.25">
      <c r="AC48" t="s">
        <v>146</v>
      </c>
      <c r="AD48">
        <f>AD45+AD47</f>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BC28A-64AA-45E4-814C-554B66B77DCA}">
  <dimension ref="A1:AU48"/>
  <sheetViews>
    <sheetView zoomScaleNormal="100" workbookViewId="0">
      <pane xSplit="1" topLeftCell="B1" activePane="topRight" state="frozen"/>
      <selection activeCell="B2" sqref="B2:L24"/>
      <selection pane="topRight" activeCell="B2" sqref="B2:L24"/>
    </sheetView>
  </sheetViews>
  <sheetFormatPr defaultColWidth="8.85546875" defaultRowHeight="15" x14ac:dyDescent="0.25"/>
  <cols>
    <col min="1" max="1" width="15.42578125" customWidth="1"/>
    <col min="2" max="2" width="14" customWidth="1"/>
    <col min="4" max="4" width="11.85546875" customWidth="1"/>
    <col min="5" max="5" width="11" customWidth="1"/>
    <col min="35" max="35" width="11" customWidth="1"/>
    <col min="36" max="36" width="11.42578125" customWidth="1"/>
    <col min="37" max="37" width="14.140625" customWidth="1"/>
  </cols>
  <sheetData>
    <row r="1" spans="1:12" x14ac:dyDescent="0.25">
      <c r="A1" s="1" t="s">
        <v>141</v>
      </c>
    </row>
    <row r="2" spans="1:12" x14ac:dyDescent="0.25">
      <c r="A2" t="s">
        <v>88</v>
      </c>
      <c r="B2">
        <v>2</v>
      </c>
    </row>
    <row r="3" spans="1:12" x14ac:dyDescent="0.25">
      <c r="A3" t="s">
        <v>89</v>
      </c>
      <c r="B3">
        <v>0</v>
      </c>
    </row>
    <row r="5" spans="1:12" x14ac:dyDescent="0.25">
      <c r="A5" t="s">
        <v>55</v>
      </c>
      <c r="B5" t="s">
        <v>56</v>
      </c>
      <c r="C5" t="s">
        <v>57</v>
      </c>
      <c r="D5" t="s">
        <v>58</v>
      </c>
      <c r="E5" t="s">
        <v>90</v>
      </c>
    </row>
    <row r="6" spans="1:12" x14ac:dyDescent="0.25">
      <c r="A6">
        <v>0</v>
      </c>
      <c r="B6">
        <v>0</v>
      </c>
      <c r="C6">
        <v>0</v>
      </c>
      <c r="D6">
        <v>0</v>
      </c>
      <c r="E6">
        <f>SUM(A6:D6)</f>
        <v>0</v>
      </c>
    </row>
    <row r="8" spans="1:12" x14ac:dyDescent="0.25">
      <c r="A8" s="1" t="s">
        <v>87</v>
      </c>
      <c r="B8" t="s">
        <v>0</v>
      </c>
      <c r="C8" t="s">
        <v>1</v>
      </c>
      <c r="D8" t="s">
        <v>2</v>
      </c>
      <c r="E8" t="s">
        <v>3</v>
      </c>
      <c r="F8" t="s">
        <v>91</v>
      </c>
      <c r="G8" t="s">
        <v>92</v>
      </c>
      <c r="H8" t="s">
        <v>93</v>
      </c>
      <c r="I8" t="s">
        <v>94</v>
      </c>
      <c r="J8" t="s">
        <v>95</v>
      </c>
      <c r="K8" t="s">
        <v>96</v>
      </c>
      <c r="L8" t="s">
        <v>97</v>
      </c>
    </row>
    <row r="9" spans="1:12" x14ac:dyDescent="0.25">
      <c r="B9">
        <f>IF(AND(B2=1,E6=0),1,0)</f>
        <v>0</v>
      </c>
      <c r="C9">
        <f>IF(AND(B2=2,E6=0),1,0)</f>
        <v>1</v>
      </c>
      <c r="D9">
        <f>IF(AND(B3=1,E6=0),1,0)</f>
        <v>0</v>
      </c>
      <c r="E9">
        <f>IF(AND(B3=2,E6=0),1,0)</f>
        <v>0</v>
      </c>
      <c r="F9">
        <f>IF(AND(B2=1,E6=1),1,0)</f>
        <v>0</v>
      </c>
      <c r="G9">
        <f>IF(AND(B2=1,E6=2),1,0)</f>
        <v>0</v>
      </c>
      <c r="H9">
        <f>IF(AND(B2=1,E6=3),1,0)</f>
        <v>0</v>
      </c>
      <c r="I9">
        <f>IF(AND(B2=2,E6=1),1,0)</f>
        <v>0</v>
      </c>
      <c r="J9">
        <f>IF(AND(B2=2,E6=2),1,0)</f>
        <v>0</v>
      </c>
      <c r="K9">
        <f>IF(AND(B2=2,E6=3),1,0)</f>
        <v>0</v>
      </c>
      <c r="L9">
        <f>IF(AND(B2=2,E6=4),1,0)</f>
        <v>0</v>
      </c>
    </row>
    <row r="11" spans="1:12" x14ac:dyDescent="0.25">
      <c r="A11" s="1"/>
      <c r="B11" s="1" t="s">
        <v>146</v>
      </c>
      <c r="C11" s="10" t="s">
        <v>147</v>
      </c>
      <c r="D11" s="10" t="s">
        <v>148</v>
      </c>
      <c r="E11" s="10" t="s">
        <v>98</v>
      </c>
    </row>
    <row r="12" spans="1:12" x14ac:dyDescent="0.25">
      <c r="A12" s="9" t="s">
        <v>64</v>
      </c>
      <c r="C12" s="10"/>
      <c r="D12" s="10"/>
      <c r="E12" s="10"/>
    </row>
    <row r="13" spans="1:12" x14ac:dyDescent="0.25">
      <c r="A13" s="8" t="s">
        <v>65</v>
      </c>
      <c r="B13">
        <f>C13+D13+E13</f>
        <v>132.80972798391019</v>
      </c>
      <c r="C13" s="10">
        <f>SUM(B$9*'2023 components'!C5,C$9*'2023 components'!D5,D$9*'2023 components'!E5,E$9*'2023 components'!F5,F$9*'2023 components'!G5,G$9*'2023 components'!H5,H$9*'2023 components'!I5,I$9*'2023 components'!J5,J$9*'2023 components'!K5,K$9*'2023 components'!L5,L$9*'2023 components'!M5)</f>
        <v>132.80972798391019</v>
      </c>
      <c r="D13" s="10">
        <f>SUM(A$6*'2023 components'!N5,B$6*'2023 components'!O5,C$6*'2023 components'!P5,D$6*'2023 components'!Q5)</f>
        <v>0</v>
      </c>
      <c r="E13" s="10"/>
    </row>
    <row r="14" spans="1:12" x14ac:dyDescent="0.25">
      <c r="A14" s="8" t="s">
        <v>66</v>
      </c>
      <c r="B14">
        <f t="shared" ref="B14:B29" si="0">C14+D14+E14</f>
        <v>18.466297403082347</v>
      </c>
      <c r="C14" s="10">
        <f>SUM(B$9*'2023 components'!C6,C$9*'2023 components'!D6,D$9*'2023 components'!E6,E$9*'2023 components'!F6,F$9*'2023 components'!G6,G$9*'2023 components'!H6,H$9*'2023 components'!I6,I$9*'2023 components'!J6,J$9*'2023 components'!K6,K$9*'2023 components'!L6,L$9*'2023 components'!M6)</f>
        <v>18.466297403082347</v>
      </c>
      <c r="D14" s="10">
        <f>SUM(A$6*'2023 components'!N6,B$6*'2023 components'!O6,C$6*'2023 components'!P6,D$6*'2023 components'!Q6)</f>
        <v>0</v>
      </c>
      <c r="E14" s="10"/>
    </row>
    <row r="15" spans="1:12" x14ac:dyDescent="0.25">
      <c r="A15" s="8" t="s">
        <v>67</v>
      </c>
      <c r="B15">
        <f t="shared" si="0"/>
        <v>0</v>
      </c>
      <c r="C15" s="10">
        <f>SUM(B$9*'2023 components'!C7,C$9*'2023 components'!D7,D$9*'2023 components'!E7,E$9*'2023 components'!F7,F$9*'2023 components'!G7,G$9*'2023 components'!H7,H$9*'2023 components'!I7,I$9*'2023 components'!J7,J$9*'2023 components'!K7,K$9*'2023 components'!L7,L$9*'2023 components'!M7)</f>
        <v>0</v>
      </c>
      <c r="D15" s="10">
        <f>SUM(A$6*'2023 components'!N7,B$6*'2023 components'!O7,C$6*'2023 components'!P7,D$6*'2023 components'!Q7)</f>
        <v>0</v>
      </c>
      <c r="E15" s="10"/>
    </row>
    <row r="16" spans="1:12" x14ac:dyDescent="0.25">
      <c r="A16" s="8" t="s">
        <v>68</v>
      </c>
      <c r="B16">
        <f t="shared" si="0"/>
        <v>29.971815723835615</v>
      </c>
      <c r="C16" s="10">
        <f>SUM(B$9*'2023 components'!C8,C$9*'2023 components'!D8,D$9*'2023 components'!E8,E$9*'2023 components'!F8,F$9*'2023 components'!G8,G$9*'2023 components'!H8,H$9*'2023 components'!I8,I$9*'2023 components'!J8,J$9*'2023 components'!K8,K$9*'2023 components'!L8,L$9*'2023 components'!M8)</f>
        <v>29.971815723835615</v>
      </c>
      <c r="D16" s="10">
        <f>SUM(A$6*'2023 components'!N8,B$6*'2023 components'!O8,C$6*'2023 components'!P8,D$6*'2023 components'!Q8)</f>
        <v>0</v>
      </c>
      <c r="E16" s="10"/>
    </row>
    <row r="17" spans="1:11" x14ac:dyDescent="0.25">
      <c r="A17" s="8" t="s">
        <v>69</v>
      </c>
      <c r="B17">
        <f t="shared" si="0"/>
        <v>8.0627536334231795</v>
      </c>
      <c r="C17" s="10">
        <f>SUM(B$9*'2023 components'!C9,C$9*'2023 components'!D9,D$9*'2023 components'!E9,E$9*'2023 components'!F9,F$9*'2023 components'!G9,G$9*'2023 components'!H9,H$9*'2023 components'!I9,I$9*'2023 components'!J9,J$9*'2023 components'!K9,K$9*'2023 components'!L9,L$9*'2023 components'!M9)</f>
        <v>8.0627536334231795</v>
      </c>
      <c r="D17" s="10">
        <f>SUM(A$6*'2023 components'!N9,B$6*'2023 components'!O9,C$6*'2023 components'!P9,D$6*'2023 components'!Q9)</f>
        <v>0</v>
      </c>
      <c r="E17" s="10"/>
    </row>
    <row r="18" spans="1:11" x14ac:dyDescent="0.25">
      <c r="A18" s="8" t="s">
        <v>70</v>
      </c>
      <c r="B18">
        <f t="shared" si="0"/>
        <v>27.577866666666662</v>
      </c>
      <c r="C18" s="10">
        <f>SUM(B$9*'2023 components'!C10,C$9*'2023 components'!D10,D$9*'2023 components'!E10,E$9*'2023 components'!F10,F$9*'2023 components'!G10,G$9*'2023 components'!H10,H$9*'2023 components'!I10,I$9*'2023 components'!J10,J$9*'2023 components'!K10,K$9*'2023 components'!L10,L$9*'2023 components'!M10)</f>
        <v>27.577866666666662</v>
      </c>
      <c r="D18" s="10">
        <f>SUM(A$6*'2023 components'!N10,B$6*'2023 components'!O10,C$6*'2023 components'!P10,D$6*'2023 components'!Q10)</f>
        <v>0</v>
      </c>
      <c r="E18" s="10"/>
    </row>
    <row r="19" spans="1:11" x14ac:dyDescent="0.25">
      <c r="A19" s="8" t="s">
        <v>71</v>
      </c>
      <c r="B19">
        <f t="shared" si="0"/>
        <v>1.7450245541483591</v>
      </c>
      <c r="C19" s="10">
        <f>SUM(B$9*'2023 components'!C11,C$9*'2023 components'!D11,D$9*'2023 components'!E11,E$9*'2023 components'!F11,F$9*'2023 components'!G11,G$9*'2023 components'!H11,H$9*'2023 components'!I11,I$9*'2023 components'!J11,J$9*'2023 components'!K11,K$9*'2023 components'!L11,L$9*'2023 components'!M11)</f>
        <v>1.7450245541483591</v>
      </c>
      <c r="D19" s="10">
        <f>SUM(A$6*'2023 components'!N11,B$6*'2023 components'!O11,C$6*'2023 components'!P11,D$6*'2023 components'!Q11)</f>
        <v>0</v>
      </c>
      <c r="E19" s="10"/>
    </row>
    <row r="20" spans="1:11" x14ac:dyDescent="0.25">
      <c r="A20" s="8" t="s">
        <v>72</v>
      </c>
      <c r="B20">
        <f t="shared" si="0"/>
        <v>48.681451032602745</v>
      </c>
      <c r="C20" s="10">
        <f>SUM(B$9*'2023 components'!C12,C$9*'2023 components'!D12,D$9*'2023 components'!E12,E$9*'2023 components'!F12,F$9*'2023 components'!G12,G$9*'2023 components'!H12,H$9*'2023 components'!I12,I$9*'2023 components'!J12,J$9*'2023 components'!K12,K$9*'2023 components'!L12,L$9*'2023 components'!M12)</f>
        <v>48.681451032602745</v>
      </c>
      <c r="D20" s="10">
        <f>SUM(A$6*'2023 components'!N12,B$6*'2023 components'!O12,C$6*'2023 components'!P12,D$6*'2023 components'!Q12)</f>
        <v>0</v>
      </c>
      <c r="E20" s="10">
        <f>K41</f>
        <v>0</v>
      </c>
    </row>
    <row r="21" spans="1:11" x14ac:dyDescent="0.25">
      <c r="A21" s="8" t="s">
        <v>73</v>
      </c>
      <c r="B21">
        <f t="shared" si="0"/>
        <v>2.0144754201447719</v>
      </c>
      <c r="C21" s="10">
        <f>SUM(B$9*'2023 components'!C13,C$9*'2023 components'!D13,D$9*'2023 components'!E13,E$9*'2023 components'!F13,F$9*'2023 components'!G13,G$9*'2023 components'!H13,H$9*'2023 components'!I13,I$9*'2023 components'!J13,J$9*'2023 components'!K13,K$9*'2023 components'!L13,L$9*'2023 components'!M13)</f>
        <v>2.0144754201447719</v>
      </c>
      <c r="D21" s="10">
        <f>SUM(A$6*'2023 components'!N13,B$6*'2023 components'!O13,C$6*'2023 components'!P13,D$6*'2023 components'!Q13)</f>
        <v>0</v>
      </c>
      <c r="E21" s="10"/>
    </row>
    <row r="22" spans="1:11" x14ac:dyDescent="0.25">
      <c r="A22" s="8" t="s">
        <v>74</v>
      </c>
      <c r="B22">
        <f t="shared" si="0"/>
        <v>17.049870076841657</v>
      </c>
      <c r="C22" s="10">
        <f>SUM(B$9*'2023 components'!C14,C$9*'2023 components'!D14,D$9*'2023 components'!E14,E$9*'2023 components'!F14,F$9*'2023 components'!G14,G$9*'2023 components'!H14,H$9*'2023 components'!I14,I$9*'2023 components'!J14,J$9*'2023 components'!K14,K$9*'2023 components'!L14,L$9*'2023 components'!M14)</f>
        <v>17.049870076841657</v>
      </c>
      <c r="D22" s="10">
        <f>SUM(A$6*'2023 components'!N14,B$6*'2023 components'!O14,C$6*'2023 components'!P14,D$6*'2023 components'!Q14)</f>
        <v>0</v>
      </c>
      <c r="E22" s="10">
        <f>SUM(M41:Q41)</f>
        <v>0</v>
      </c>
    </row>
    <row r="23" spans="1:11" x14ac:dyDescent="0.25">
      <c r="A23" s="8" t="s">
        <v>75</v>
      </c>
      <c r="B23">
        <f t="shared" si="0"/>
        <v>12.013150729197388</v>
      </c>
      <c r="C23" s="10">
        <f>SUM(B$9*'2023 components'!C15,C$9*'2023 components'!D15,D$9*'2023 components'!E15,E$9*'2023 components'!F15,F$9*'2023 components'!G15,G$9*'2023 components'!H15,H$9*'2023 components'!I15,I$9*'2023 components'!J15,J$9*'2023 components'!K15,K$9*'2023 components'!L15,L$9*'2023 components'!M15)</f>
        <v>12.013150729197388</v>
      </c>
      <c r="D23" s="10">
        <f>SUM(A$6*'2023 components'!N15,B$6*'2023 components'!O15,C$6*'2023 components'!P15,D$6*'2023 components'!Q15)</f>
        <v>0</v>
      </c>
      <c r="E23" s="10"/>
    </row>
    <row r="24" spans="1:11" x14ac:dyDescent="0.25">
      <c r="A24" s="8" t="s">
        <v>76</v>
      </c>
      <c r="B24">
        <f t="shared" si="0"/>
        <v>0</v>
      </c>
      <c r="C24" s="10">
        <f>SUM(B$9*'2023 components'!C16,C$9*'2023 components'!D16,D$9*'2023 components'!E16,E$9*'2023 components'!F16,F$9*'2023 components'!G16,G$9*'2023 components'!H16,H$9*'2023 components'!I16,I$9*'2023 components'!J16,J$9*'2023 components'!K16,K$9*'2023 components'!L16,L$9*'2023 components'!M16)</f>
        <v>0</v>
      </c>
      <c r="D24" s="10">
        <f>SUM(A$6*'2023 components'!N16,B$6*'2023 components'!O16,C$6*'2023 components'!P16,D$6*'2023 components'!Q16)</f>
        <v>0</v>
      </c>
      <c r="E24" s="10">
        <f>SUM(E41:J41)</f>
        <v>0</v>
      </c>
    </row>
    <row r="25" spans="1:11" x14ac:dyDescent="0.25">
      <c r="A25" s="8" t="s">
        <v>77</v>
      </c>
      <c r="B25">
        <f t="shared" si="0"/>
        <v>54.251955744206541</v>
      </c>
      <c r="C25" s="10">
        <f>SUM(B$9*'2023 components'!C17,C$9*'2023 components'!D17,D$9*'2023 components'!E17,E$9*'2023 components'!F17,F$9*'2023 components'!G17,G$9*'2023 components'!H17,H$9*'2023 components'!I17,I$9*'2023 components'!J17,J$9*'2023 components'!K17,K$9*'2023 components'!L17,L$9*'2023 components'!M17)</f>
        <v>54.251955744206541</v>
      </c>
      <c r="D25" s="10">
        <f>SUM(A$6*'2023 components'!N17,B$6*'2023 components'!O17,C$6*'2023 components'!P17,D$6*'2023 components'!Q17)</f>
        <v>0</v>
      </c>
      <c r="E25" s="10">
        <f>SUM(T41:W41)</f>
        <v>0</v>
      </c>
    </row>
    <row r="26" spans="1:11" x14ac:dyDescent="0.25">
      <c r="A26" s="8" t="s">
        <v>10</v>
      </c>
      <c r="B26">
        <f t="shared" si="0"/>
        <v>0</v>
      </c>
      <c r="C26" s="10">
        <f>SUM(B$9*'2023 components'!C18,C$9*'2023 components'!D18,D$9*'2023 components'!E18,E$9*'2023 components'!F18,F$9*'2023 components'!G18,G$9*'2023 components'!H18,H$9*'2023 components'!I18,I$9*'2023 components'!J18,J$9*'2023 components'!K18,K$9*'2023 components'!L18,L$9*'2023 components'!M18)</f>
        <v>0</v>
      </c>
      <c r="D26" s="10">
        <f>SUM(A$6*'2023 components'!N18,B$6*'2023 components'!O18,C$6*'2023 components'!P18,D$6*'2023 components'!Q18)</f>
        <v>0</v>
      </c>
      <c r="E26" s="10">
        <f>AD48</f>
        <v>0</v>
      </c>
    </row>
    <row r="27" spans="1:11" x14ac:dyDescent="0.25">
      <c r="A27" s="8" t="s">
        <v>78</v>
      </c>
      <c r="B27">
        <f t="shared" si="0"/>
        <v>69.581900773653231</v>
      </c>
      <c r="C27">
        <f>I27+I28</f>
        <v>69.581900773653231</v>
      </c>
      <c r="D27">
        <f t="shared" ref="D27:E27" si="1">J27+J28</f>
        <v>0</v>
      </c>
      <c r="E27">
        <f t="shared" si="1"/>
        <v>0</v>
      </c>
      <c r="G27" t="s">
        <v>169</v>
      </c>
      <c r="H27">
        <f>I27+J27+K27</f>
        <v>47.658286606572517</v>
      </c>
      <c r="I27" s="10">
        <f>SUM(B$9*'2023 components'!C19,C$9*'2023 components'!D19,D$9*'2023 components'!E19,E$9*'2023 components'!F19,F$9*'2023 components'!G19,G$9*'2023 components'!H19,H$9*'2023 components'!I19,I$9*'2023 components'!J19,J$9*'2023 components'!K19,K$9*'2023 components'!L19,L$9*'2023 components'!M19)</f>
        <v>47.658286606572517</v>
      </c>
      <c r="J27" s="10">
        <f>SUM(A$6*'2023 components'!N19,B$6*'2023 components'!O19,C$6*'2023 components'!P19,D$6*'2023 components'!Q19)</f>
        <v>0</v>
      </c>
      <c r="K27" s="10"/>
    </row>
    <row r="28" spans="1:11" x14ac:dyDescent="0.25">
      <c r="A28" s="8" t="s">
        <v>79</v>
      </c>
      <c r="B28">
        <f t="shared" si="0"/>
        <v>114.60706535534628</v>
      </c>
      <c r="C28" s="10">
        <f>SUM(B$9*'2023 components'!C21,C$9*'2023 components'!D21,D$9*'2023 components'!E21,E$9*'2023 components'!F21,F$9*'2023 components'!G21,G$9*'2023 components'!H21,H$9*'2023 components'!I21,I$9*'2023 components'!J21,J$9*'2023 components'!K21,K$9*'2023 components'!L21,L$9*'2023 components'!M21)</f>
        <v>114.60706535534628</v>
      </c>
      <c r="D28" s="10">
        <f>SUM(A$6*'2023 components'!N21,B$6*'2023 components'!O21,C$6*'2023 components'!P21,D$6*'2023 components'!Q21)</f>
        <v>0</v>
      </c>
      <c r="E28" s="10">
        <f>SUM(X41:AA41)+SUM(AM41:AP41)</f>
        <v>0</v>
      </c>
      <c r="G28" t="s">
        <v>170</v>
      </c>
      <c r="H28">
        <f>I28+J28+K28</f>
        <v>21.923614167080711</v>
      </c>
      <c r="I28" s="10">
        <f>SUM(B$9*'2023 components'!C20,C$9*'2023 components'!D20,D$9*'2023 components'!E20,E$9*'2023 components'!F20,F$9*'2023 components'!G20,G$9*'2023 components'!H20,H$9*'2023 components'!I20,I$9*'2023 components'!J20,J$9*'2023 components'!K20,K$9*'2023 components'!L20,L$9*'2023 components'!M20)</f>
        <v>21.923614167080711</v>
      </c>
      <c r="J28" s="10">
        <f>SUM(A$6*'2023 components'!N20,B$6*'2023 components'!O20,C$6*'2023 components'!P20,D$6*'2023 components'!Q20)</f>
        <v>0</v>
      </c>
      <c r="K28" s="10"/>
    </row>
    <row r="29" spans="1:11" x14ac:dyDescent="0.25">
      <c r="A29" s="8" t="s">
        <v>80</v>
      </c>
      <c r="B29">
        <f t="shared" si="0"/>
        <v>122.47762557077627</v>
      </c>
      <c r="C29" s="10">
        <f>SUM(B$9*'2023 components'!C22,C$9*'2023 components'!D22,D$9*'2023 components'!E22,E$9*'2023 components'!F22,F$9*'2023 components'!G22,G$9*'2023 components'!H22,H$9*'2023 components'!I22,I$9*'2023 components'!J22,J$9*'2023 components'!K22,K$9*'2023 components'!L22,L$9*'2023 components'!M22)</f>
        <v>122.47762557077627</v>
      </c>
      <c r="D29" s="10">
        <f>SUM(A$6*'2023 components'!N22,B$6*'2023 components'!O22,C$6*'2023 components'!P22,D$6*'2023 components'!Q22)</f>
        <v>0</v>
      </c>
      <c r="E29" s="10"/>
    </row>
    <row r="30" spans="1:11" x14ac:dyDescent="0.25">
      <c r="E30" s="10"/>
    </row>
    <row r="33" spans="1:47" x14ac:dyDescent="0.25">
      <c r="A33" s="11" t="s">
        <v>78</v>
      </c>
      <c r="B33" s="11" t="s">
        <v>149</v>
      </c>
      <c r="C33" s="11">
        <f>SUM(B$9*'2023 components'!C17,C$9*'2023 components'!D17,D$9*'2023 components'!E17,E$9*'2023 components'!F17,F$9*'2023 components'!G17,G$9*'2023 components'!H17,H$9*'2023 components'!I17,I$9*'2023 components'!J17,J$9*'2023 components'!K17,K$9*'2023 components'!L17,L$9*'2023 components'!M17)</f>
        <v>54.251955744206541</v>
      </c>
      <c r="D33" s="10">
        <f>SUM(A$6*'2023 components'!N17,B$6*'2023 components'!O17,C$6*'2023 components'!P17,D$6*'2023 components'!Q17)</f>
        <v>0</v>
      </c>
    </row>
    <row r="34" spans="1:47" x14ac:dyDescent="0.25">
      <c r="A34" s="11"/>
      <c r="B34" s="11" t="s">
        <v>150</v>
      </c>
      <c r="C34" s="11">
        <f>SUM(B$9*'2023 components'!C18,C$9*'2023 components'!D18,D$9*'2023 components'!E18,E$9*'2023 components'!F18,F$9*'2023 components'!G18,G$9*'2023 components'!H18,H$9*'2023 components'!I18,I$9*'2023 components'!J18,J$9*'2023 components'!K18,K$9*'2023 components'!L18,L$9*'2023 components'!M18)</f>
        <v>0</v>
      </c>
      <c r="D34" s="10">
        <f>SUM(A$6*'2023 components'!N18,B$6*'2023 components'!O18,C$6*'2023 components'!P18,D$6*'2023 components'!Q18)</f>
        <v>0</v>
      </c>
    </row>
    <row r="35" spans="1:47" x14ac:dyDescent="0.25">
      <c r="A35" s="11"/>
      <c r="B35" s="11" t="s">
        <v>151</v>
      </c>
      <c r="C35" s="11">
        <f>C33+C34</f>
        <v>54.251955744206541</v>
      </c>
      <c r="D35" s="11">
        <f>D33+D34</f>
        <v>0</v>
      </c>
    </row>
    <row r="37" spans="1:47" ht="45" x14ac:dyDescent="0.25">
      <c r="E37" t="s">
        <v>28</v>
      </c>
      <c r="F37" t="s">
        <v>29</v>
      </c>
      <c r="G37" t="s">
        <v>30</v>
      </c>
      <c r="H37" t="s">
        <v>31</v>
      </c>
      <c r="I37" t="s">
        <v>32</v>
      </c>
      <c r="J37" t="s">
        <v>33</v>
      </c>
      <c r="K37" t="s">
        <v>34</v>
      </c>
      <c r="L37" t="s">
        <v>35</v>
      </c>
      <c r="M37" t="s">
        <v>36</v>
      </c>
      <c r="N37" t="s">
        <v>37</v>
      </c>
      <c r="O37" t="s">
        <v>38</v>
      </c>
      <c r="P37" t="s">
        <v>39</v>
      </c>
      <c r="Q37" t="s">
        <v>40</v>
      </c>
      <c r="R37" t="s">
        <v>41</v>
      </c>
      <c r="S37" t="s">
        <v>42</v>
      </c>
      <c r="T37" t="s">
        <v>39</v>
      </c>
      <c r="U37" t="s">
        <v>40</v>
      </c>
      <c r="V37" t="s">
        <v>99</v>
      </c>
      <c r="W37" s="3" t="s">
        <v>44</v>
      </c>
      <c r="X37" t="s">
        <v>100</v>
      </c>
      <c r="Y37" t="s">
        <v>101</v>
      </c>
      <c r="Z37" t="s">
        <v>102</v>
      </c>
      <c r="AA37" t="s">
        <v>48</v>
      </c>
      <c r="AB37" t="s">
        <v>49</v>
      </c>
      <c r="AC37" t="s">
        <v>50</v>
      </c>
      <c r="AD37" t="s">
        <v>51</v>
      </c>
      <c r="AE37" t="s">
        <v>52</v>
      </c>
      <c r="AF37" t="s">
        <v>53</v>
      </c>
      <c r="AG37" t="s">
        <v>54</v>
      </c>
      <c r="AH37" t="s">
        <v>55</v>
      </c>
      <c r="AI37" t="s">
        <v>56</v>
      </c>
      <c r="AJ37" t="s">
        <v>57</v>
      </c>
      <c r="AK37" t="s">
        <v>58</v>
      </c>
      <c r="AL37" t="s">
        <v>145</v>
      </c>
      <c r="AM37" t="s">
        <v>60</v>
      </c>
      <c r="AN37" t="s">
        <v>61</v>
      </c>
      <c r="AO37" t="s">
        <v>62</v>
      </c>
      <c r="AP37" t="s">
        <v>63</v>
      </c>
      <c r="AT37" t="s">
        <v>144</v>
      </c>
    </row>
    <row r="38" spans="1:47" ht="45" x14ac:dyDescent="0.25">
      <c r="D38" s="12" t="s">
        <v>152</v>
      </c>
      <c r="E38" t="s">
        <v>103</v>
      </c>
      <c r="F38" t="s">
        <v>104</v>
      </c>
      <c r="G38" t="s">
        <v>105</v>
      </c>
      <c r="H38" t="s">
        <v>106</v>
      </c>
      <c r="I38" t="s">
        <v>107</v>
      </c>
      <c r="J38" t="s">
        <v>108</v>
      </c>
      <c r="K38" t="s">
        <v>109</v>
      </c>
      <c r="L38" t="s">
        <v>110</v>
      </c>
      <c r="M38" t="s">
        <v>111</v>
      </c>
      <c r="N38" t="s">
        <v>112</v>
      </c>
      <c r="O38" t="s">
        <v>113</v>
      </c>
      <c r="P38" t="s">
        <v>114</v>
      </c>
      <c r="Q38" t="s">
        <v>115</v>
      </c>
      <c r="R38" t="s">
        <v>116</v>
      </c>
      <c r="S38" t="s">
        <v>117</v>
      </c>
      <c r="T38" t="s">
        <v>118</v>
      </c>
      <c r="U38" t="s">
        <v>119</v>
      </c>
      <c r="V38" t="s">
        <v>120</v>
      </c>
      <c r="W38" t="s">
        <v>121</v>
      </c>
      <c r="X38" t="s">
        <v>122</v>
      </c>
      <c r="Y38" t="s">
        <v>123</v>
      </c>
      <c r="Z38" t="s">
        <v>124</v>
      </c>
      <c r="AA38" t="s">
        <v>125</v>
      </c>
      <c r="AB38" t="s">
        <v>126</v>
      </c>
      <c r="AC38" t="s">
        <v>127</v>
      </c>
      <c r="AD38" t="s">
        <v>128</v>
      </c>
      <c r="AE38" t="s">
        <v>129</v>
      </c>
      <c r="AF38" t="s">
        <v>130</v>
      </c>
      <c r="AG38" t="s">
        <v>131</v>
      </c>
      <c r="AH38" t="s">
        <v>132</v>
      </c>
      <c r="AI38" t="s">
        <v>133</v>
      </c>
      <c r="AJ38" t="s">
        <v>134</v>
      </c>
      <c r="AK38" t="s">
        <v>135</v>
      </c>
      <c r="AL38" t="s">
        <v>136</v>
      </c>
      <c r="AM38" t="s">
        <v>137</v>
      </c>
      <c r="AN38" t="s">
        <v>138</v>
      </c>
      <c r="AO38" t="s">
        <v>139</v>
      </c>
      <c r="AP38" t="s">
        <v>140</v>
      </c>
      <c r="AT38" t="s">
        <v>142</v>
      </c>
      <c r="AU38">
        <f>IF(AND(E6&gt;0,AU39=0),1,0)</f>
        <v>0</v>
      </c>
    </row>
    <row r="39" spans="1:47" x14ac:dyDescent="0.25">
      <c r="D39" s="1" t="s">
        <v>160</v>
      </c>
      <c r="E39">
        <f>IF(AND(C6&gt;0,(B6+C6=0)),1,0)</f>
        <v>0</v>
      </c>
      <c r="F39">
        <f>C6-E39</f>
        <v>0</v>
      </c>
      <c r="G39">
        <f>IF(A6&gt;0,1,0)</f>
        <v>0</v>
      </c>
      <c r="H39">
        <f>A6-G39</f>
        <v>0</v>
      </c>
      <c r="I39">
        <f>IF(AND(A6=0,B6&gt;0),1,0)</f>
        <v>0</v>
      </c>
      <c r="J39">
        <f>B6-I39</f>
        <v>0</v>
      </c>
      <c r="K39">
        <f>IF(AND(C6+D6&gt;0,A6+B6=0),1,0)</f>
        <v>0</v>
      </c>
      <c r="M39">
        <f>IF(A6&gt;0,1,0)</f>
        <v>0</v>
      </c>
      <c r="N39">
        <f>IF(B6&gt;0,1,0)</f>
        <v>0</v>
      </c>
      <c r="O39">
        <f>IF(C6&gt;0,1,0)</f>
        <v>0</v>
      </c>
      <c r="P39">
        <f>IF(A6+B6&gt;0,1,0)</f>
        <v>0</v>
      </c>
      <c r="Q39">
        <f>IF(A6+B6+C6&gt;0,1,0)</f>
        <v>0</v>
      </c>
      <c r="T39">
        <f>P39</f>
        <v>0</v>
      </c>
      <c r="U39">
        <f>Q39</f>
        <v>0</v>
      </c>
      <c r="V39">
        <f>IF(B6+C6&gt;0,1,0)</f>
        <v>0</v>
      </c>
      <c r="W39">
        <f>IF(A6+B6&gt;1,1,0)</f>
        <v>0</v>
      </c>
      <c r="X39">
        <f>IF(A6+B6+D6&gt;0,1,0)</f>
        <v>0</v>
      </c>
      <c r="Y39">
        <f>O39</f>
        <v>0</v>
      </c>
      <c r="Z39">
        <f>IF(D6&gt;0,1,0)</f>
        <v>0</v>
      </c>
      <c r="AA39">
        <f>IF(D6&gt;1,1,0)</f>
        <v>0</v>
      </c>
      <c r="AB39">
        <f>IF(AU38=1,1,0)</f>
        <v>0</v>
      </c>
      <c r="AC39">
        <f>AB39</f>
        <v>0</v>
      </c>
      <c r="AD39">
        <f>IF(AU39=1,1,0)</f>
        <v>0</v>
      </c>
      <c r="AE39">
        <f>AD39</f>
        <v>0</v>
      </c>
      <c r="AF39">
        <f>IF(SUM(cpl!F9:H9)=1,1,0)</f>
        <v>0</v>
      </c>
      <c r="AG39">
        <f>IF(AND(E6&gt;0,AF39=0),1,0)</f>
        <v>0</v>
      </c>
      <c r="AH39">
        <f>A6</f>
        <v>0</v>
      </c>
      <c r="AI39">
        <f>B6</f>
        <v>0</v>
      </c>
      <c r="AJ39">
        <f>C6</f>
        <v>0</v>
      </c>
      <c r="AK39">
        <f>D6</f>
        <v>0</v>
      </c>
      <c r="AM39">
        <f>IF(AND(OR(E6=1,E6=2),C6+D6&gt;0),1,0)</f>
        <v>0</v>
      </c>
      <c r="AN39">
        <f>IF(AND(OR(E6=1,E6=2),C6+D6=0),1,0)</f>
        <v>0</v>
      </c>
      <c r="AO39">
        <f>IF(AND(E6&gt;2,C6+D6&gt;0),1,0)</f>
        <v>0</v>
      </c>
      <c r="AP39">
        <f>IF(AND(E6&gt;2,C6+D6=0),1,0)</f>
        <v>0</v>
      </c>
      <c r="AT39" t="s">
        <v>143</v>
      </c>
      <c r="AU39">
        <f>IF(OR(L9=1,AND(K9=1,D6&gt;0)),1,0)</f>
        <v>0</v>
      </c>
    </row>
    <row r="40" spans="1:47" x14ac:dyDescent="0.25">
      <c r="D40" s="1" t="s">
        <v>153</v>
      </c>
      <c r="E40">
        <f>'2023 components'!R16</f>
        <v>97.808191506804391</v>
      </c>
      <c r="F40">
        <f>'2023 components'!S16</f>
        <v>97.808191506804391</v>
      </c>
      <c r="G40">
        <f>'2023 components'!T16</f>
        <v>286.44531759360001</v>
      </c>
      <c r="H40">
        <f>'2023 components'!U16</f>
        <v>286.44531759360001</v>
      </c>
      <c r="I40">
        <f>'2023 components'!V16</f>
        <v>149.5269997794</v>
      </c>
      <c r="J40">
        <f>'2023 components'!W16</f>
        <v>149.5269997794</v>
      </c>
      <c r="K40">
        <f>'2023 components'!X12</f>
        <v>0</v>
      </c>
      <c r="M40">
        <f>'2023 components'!Z14</f>
        <v>0.37155333390804135</v>
      </c>
      <c r="N40">
        <f>'2023 components'!AA14</f>
        <v>0.20981061908861412</v>
      </c>
      <c r="O40">
        <f>'2023 components'!AB14</f>
        <v>2.765499223273549E-2</v>
      </c>
      <c r="P40">
        <f>'2023 components'!AC14</f>
        <v>0.45757058606196299</v>
      </c>
      <c r="Q40">
        <f>'2023 components'!AD14</f>
        <v>0</v>
      </c>
      <c r="T40">
        <f>'2023 components'!AG17</f>
        <v>0.4427448878615744</v>
      </c>
      <c r="U40">
        <f>'2023 components'!AH17</f>
        <v>2.2037157368483872E-3</v>
      </c>
      <c r="V40">
        <f>'2023 components'!AI17</f>
        <v>4.1756156794292863E-2</v>
      </c>
      <c r="W40">
        <f>'2023 components'!AJ17</f>
        <v>1.0010745187572745</v>
      </c>
      <c r="X40">
        <f>'2023 components'!AK21</f>
        <v>1.7708063721874043</v>
      </c>
      <c r="Y40">
        <f>'2023 components'!AL21</f>
        <v>0</v>
      </c>
      <c r="Z40">
        <f>'2023 components'!AM21</f>
        <v>0</v>
      </c>
      <c r="AA40">
        <f>'2023 components'!AN21</f>
        <v>0</v>
      </c>
      <c r="AB40">
        <f>'2023 components'!AO18</f>
        <v>47.585682423790196</v>
      </c>
      <c r="AC40">
        <f>'2023 components'!AP18</f>
        <v>0.15373698674784678</v>
      </c>
      <c r="AD40">
        <f>'2023 components'!AQ18</f>
        <v>40.949750209232455</v>
      </c>
      <c r="AE40">
        <f>'2023 components'!AR18</f>
        <v>0.28419018572091292</v>
      </c>
      <c r="AF40">
        <f>'2023 components'!AS18</f>
        <v>157.17560741575514</v>
      </c>
      <c r="AG40">
        <f>'2023 components'!AT18</f>
        <v>161.25115699804385</v>
      </c>
      <c r="AH40">
        <f>'2023 components'!AU18</f>
        <v>20.911062685354459</v>
      </c>
      <c r="AI40">
        <f>'2023 components'!AV18</f>
        <v>22.813034342203263</v>
      </c>
      <c r="AJ40">
        <f>'2023 components'!AW18</f>
        <v>34.309868603155259</v>
      </c>
      <c r="AK40">
        <f>'2023 components'!AX18</f>
        <v>14.47198545602275</v>
      </c>
      <c r="AM40">
        <f>'2023 components'!AZ21</f>
        <v>20.245142765795233</v>
      </c>
      <c r="AN40">
        <f>'2023 components'!BA21</f>
        <v>8.1296785617668021</v>
      </c>
      <c r="AO40">
        <f>'2023 components'!BB21</f>
        <v>24.321346007230513</v>
      </c>
      <c r="AP40">
        <f>'2023 components'!BC21</f>
        <v>10.284878384692947</v>
      </c>
    </row>
    <row r="41" spans="1:47" x14ac:dyDescent="0.25">
      <c r="D41" s="1" t="s">
        <v>159</v>
      </c>
      <c r="E41" s="1">
        <f>E39*E40</f>
        <v>0</v>
      </c>
      <c r="F41" s="1">
        <f t="shared" ref="F41:AP41" si="2">F39*F40</f>
        <v>0</v>
      </c>
      <c r="G41" s="1">
        <f t="shared" si="2"/>
        <v>0</v>
      </c>
      <c r="H41" s="1">
        <f t="shared" si="2"/>
        <v>0</v>
      </c>
      <c r="I41" s="1">
        <f t="shared" si="2"/>
        <v>0</v>
      </c>
      <c r="J41" s="1">
        <f t="shared" si="2"/>
        <v>0</v>
      </c>
      <c r="K41" s="1">
        <f t="shared" si="2"/>
        <v>0</v>
      </c>
      <c r="L41" s="1">
        <f t="shared" si="2"/>
        <v>0</v>
      </c>
      <c r="M41" s="1">
        <f t="shared" si="2"/>
        <v>0</v>
      </c>
      <c r="N41" s="1">
        <f t="shared" si="2"/>
        <v>0</v>
      </c>
      <c r="O41" s="1">
        <f t="shared" si="2"/>
        <v>0</v>
      </c>
      <c r="P41" s="1">
        <f t="shared" si="2"/>
        <v>0</v>
      </c>
      <c r="Q41" s="1">
        <f t="shared" si="2"/>
        <v>0</v>
      </c>
      <c r="R41" s="1">
        <f t="shared" si="2"/>
        <v>0</v>
      </c>
      <c r="S41" s="1">
        <f t="shared" si="2"/>
        <v>0</v>
      </c>
      <c r="T41" s="1">
        <f t="shared" si="2"/>
        <v>0</v>
      </c>
      <c r="U41" s="1">
        <f t="shared" si="2"/>
        <v>0</v>
      </c>
      <c r="V41" s="1">
        <f t="shared" si="2"/>
        <v>0</v>
      </c>
      <c r="W41" s="1">
        <f t="shared" si="2"/>
        <v>0</v>
      </c>
      <c r="X41" s="1">
        <f t="shared" si="2"/>
        <v>0</v>
      </c>
      <c r="Y41" s="1">
        <f t="shared" si="2"/>
        <v>0</v>
      </c>
      <c r="Z41" s="1">
        <f t="shared" si="2"/>
        <v>0</v>
      </c>
      <c r="AA41" s="1">
        <f t="shared" si="2"/>
        <v>0</v>
      </c>
      <c r="AB41" s="1">
        <f t="shared" si="2"/>
        <v>0</v>
      </c>
      <c r="AC41" s="1">
        <f t="shared" si="2"/>
        <v>0</v>
      </c>
      <c r="AD41" s="1">
        <f t="shared" si="2"/>
        <v>0</v>
      </c>
      <c r="AE41" s="1">
        <f t="shared" si="2"/>
        <v>0</v>
      </c>
      <c r="AF41" s="1">
        <f t="shared" si="2"/>
        <v>0</v>
      </c>
      <c r="AG41" s="1">
        <f t="shared" si="2"/>
        <v>0</v>
      </c>
      <c r="AH41" s="1">
        <f t="shared" si="2"/>
        <v>0</v>
      </c>
      <c r="AI41" s="1">
        <f t="shared" si="2"/>
        <v>0</v>
      </c>
      <c r="AJ41" s="1">
        <f t="shared" si="2"/>
        <v>0</v>
      </c>
      <c r="AK41" s="1">
        <f t="shared" si="2"/>
        <v>0</v>
      </c>
      <c r="AL41" s="1">
        <f t="shared" si="2"/>
        <v>0</v>
      </c>
      <c r="AM41" s="1">
        <f t="shared" si="2"/>
        <v>0</v>
      </c>
      <c r="AN41" s="1">
        <f t="shared" si="2"/>
        <v>0</v>
      </c>
      <c r="AO41" s="1">
        <f t="shared" si="2"/>
        <v>0</v>
      </c>
      <c r="AP41" s="1">
        <f t="shared" si="2"/>
        <v>0</v>
      </c>
    </row>
    <row r="42" spans="1:47" x14ac:dyDescent="0.25">
      <c r="D42" s="1" t="s">
        <v>87</v>
      </c>
      <c r="E42" t="s">
        <v>76</v>
      </c>
      <c r="F42" t="s">
        <v>76</v>
      </c>
      <c r="G42" t="s">
        <v>76</v>
      </c>
      <c r="H42" t="s">
        <v>76</v>
      </c>
      <c r="I42" t="s">
        <v>76</v>
      </c>
      <c r="J42" t="s">
        <v>76</v>
      </c>
      <c r="K42" t="s">
        <v>72</v>
      </c>
      <c r="M42" t="s">
        <v>7</v>
      </c>
      <c r="N42" t="s">
        <v>7</v>
      </c>
      <c r="O42" t="s">
        <v>7</v>
      </c>
      <c r="P42" t="s">
        <v>7</v>
      </c>
      <c r="Q42" t="s">
        <v>7</v>
      </c>
      <c r="T42" t="s">
        <v>154</v>
      </c>
      <c r="U42" t="s">
        <v>154</v>
      </c>
      <c r="V42" t="s">
        <v>154</v>
      </c>
      <c r="W42" t="s">
        <v>154</v>
      </c>
      <c r="X42" t="s">
        <v>155</v>
      </c>
      <c r="Y42" t="s">
        <v>155</v>
      </c>
      <c r="Z42" t="s">
        <v>155</v>
      </c>
      <c r="AA42" t="s">
        <v>155</v>
      </c>
      <c r="AB42" t="s">
        <v>10</v>
      </c>
      <c r="AC42" t="s">
        <v>10</v>
      </c>
      <c r="AD42" t="s">
        <v>10</v>
      </c>
      <c r="AE42" t="s">
        <v>10</v>
      </c>
      <c r="AF42" t="s">
        <v>10</v>
      </c>
      <c r="AG42" t="s">
        <v>10</v>
      </c>
      <c r="AH42" t="s">
        <v>10</v>
      </c>
      <c r="AI42" t="s">
        <v>10</v>
      </c>
      <c r="AJ42" t="s">
        <v>10</v>
      </c>
      <c r="AK42" t="s">
        <v>10</v>
      </c>
      <c r="AM42" t="s">
        <v>155</v>
      </c>
      <c r="AN42" t="s">
        <v>155</v>
      </c>
      <c r="AO42" t="s">
        <v>155</v>
      </c>
      <c r="AP42" t="s">
        <v>155</v>
      </c>
    </row>
    <row r="44" spans="1:47" x14ac:dyDescent="0.25">
      <c r="AC44" t="s">
        <v>156</v>
      </c>
    </row>
    <row r="45" spans="1:47" x14ac:dyDescent="0.25">
      <c r="AC45" t="s">
        <v>157</v>
      </c>
      <c r="AD45">
        <f>AB41+AD41</f>
        <v>0</v>
      </c>
    </row>
    <row r="46" spans="1:47" x14ac:dyDescent="0.25">
      <c r="AC46" t="s">
        <v>11</v>
      </c>
      <c r="AD46">
        <f>SUM(AF41:AK41)</f>
        <v>0</v>
      </c>
    </row>
    <row r="47" spans="1:47" x14ac:dyDescent="0.25">
      <c r="AC47" t="s">
        <v>158</v>
      </c>
      <c r="AD47">
        <f>SUM(AC41,AE41)*AD46</f>
        <v>0</v>
      </c>
    </row>
    <row r="48" spans="1:47" x14ac:dyDescent="0.25">
      <c r="AC48" t="s">
        <v>146</v>
      </c>
      <c r="AD48">
        <f>AD45+AD47</f>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A9266-5847-40BB-B261-85E2E77C9E41}">
  <dimension ref="A1:AU48"/>
  <sheetViews>
    <sheetView zoomScaleNormal="100" workbookViewId="0">
      <pane xSplit="1" topLeftCell="B1" activePane="topRight" state="frozen"/>
      <selection activeCell="B2" sqref="B2:L24"/>
      <selection pane="topRight" activeCell="B2" sqref="B2:L24"/>
    </sheetView>
  </sheetViews>
  <sheetFormatPr defaultColWidth="8.85546875" defaultRowHeight="15" x14ac:dyDescent="0.25"/>
  <cols>
    <col min="1" max="1" width="15.42578125" customWidth="1"/>
    <col min="2" max="2" width="14" customWidth="1"/>
    <col min="4" max="4" width="11.85546875" customWidth="1"/>
    <col min="5" max="5" width="11" customWidth="1"/>
    <col min="35" max="35" width="11" customWidth="1"/>
    <col min="36" max="36" width="11.42578125" customWidth="1"/>
    <col min="37" max="37" width="14.140625" customWidth="1"/>
  </cols>
  <sheetData>
    <row r="1" spans="1:12" x14ac:dyDescent="0.25">
      <c r="A1" s="1" t="s">
        <v>141</v>
      </c>
    </row>
    <row r="2" spans="1:12" x14ac:dyDescent="0.25">
      <c r="A2" t="s">
        <v>88</v>
      </c>
      <c r="B2">
        <v>0</v>
      </c>
    </row>
    <row r="3" spans="1:12" x14ac:dyDescent="0.25">
      <c r="A3" t="s">
        <v>89</v>
      </c>
      <c r="B3">
        <v>1</v>
      </c>
    </row>
    <row r="5" spans="1:12" x14ac:dyDescent="0.25">
      <c r="A5" t="s">
        <v>55</v>
      </c>
      <c r="B5" t="s">
        <v>56</v>
      </c>
      <c r="C5" t="s">
        <v>57</v>
      </c>
      <c r="D5" t="s">
        <v>58</v>
      </c>
      <c r="E5" t="s">
        <v>90</v>
      </c>
    </row>
    <row r="6" spans="1:12" x14ac:dyDescent="0.25">
      <c r="A6">
        <v>0</v>
      </c>
      <c r="B6">
        <v>0</v>
      </c>
      <c r="C6">
        <v>0</v>
      </c>
      <c r="D6">
        <v>0</v>
      </c>
      <c r="E6">
        <v>0</v>
      </c>
    </row>
    <row r="8" spans="1:12" x14ac:dyDescent="0.25">
      <c r="A8" s="1" t="s">
        <v>87</v>
      </c>
      <c r="B8" t="s">
        <v>0</v>
      </c>
      <c r="C8" t="s">
        <v>1</v>
      </c>
      <c r="D8" t="s">
        <v>2</v>
      </c>
      <c r="E8" t="s">
        <v>3</v>
      </c>
      <c r="F8" t="s">
        <v>91</v>
      </c>
      <c r="G8" t="s">
        <v>92</v>
      </c>
      <c r="H8" t="s">
        <v>93</v>
      </c>
      <c r="I8" t="s">
        <v>94</v>
      </c>
      <c r="J8" t="s">
        <v>95</v>
      </c>
      <c r="K8" t="s">
        <v>96</v>
      </c>
      <c r="L8" t="s">
        <v>97</v>
      </c>
    </row>
    <row r="9" spans="1:12" x14ac:dyDescent="0.25">
      <c r="B9">
        <f>IF(AND(B2=1,E6=0),1,0)</f>
        <v>0</v>
      </c>
      <c r="C9">
        <f>IF(AND(B2=2,E6=0),1,0)</f>
        <v>0</v>
      </c>
      <c r="D9">
        <f>IF(AND(B3=1,E6=0),1,0)</f>
        <v>1</v>
      </c>
      <c r="E9">
        <f>IF(AND(B3=2,E6=0),1,0)</f>
        <v>0</v>
      </c>
      <c r="F9">
        <f>IF(AND(B2=1,E6=1),1,0)</f>
        <v>0</v>
      </c>
      <c r="G9">
        <f>IF(AND(B2=1,E6=2),1,0)</f>
        <v>0</v>
      </c>
      <c r="H9">
        <f>IF(AND(B2=1,E6=3),1,0)</f>
        <v>0</v>
      </c>
      <c r="I9">
        <f>IF(AND(B2=2,E6=1),1,0)</f>
        <v>0</v>
      </c>
      <c r="J9">
        <f>IF(AND(B2=2,E6=2),1,0)</f>
        <v>0</v>
      </c>
      <c r="K9">
        <f>IF(AND(B2=2,E6=3),1,0)</f>
        <v>0</v>
      </c>
      <c r="L9">
        <f>IF(AND(B2=2,E6=4),1,0)</f>
        <v>0</v>
      </c>
    </row>
    <row r="11" spans="1:12" x14ac:dyDescent="0.25">
      <c r="A11" s="1"/>
      <c r="B11" s="1" t="s">
        <v>146</v>
      </c>
      <c r="C11" s="10" t="s">
        <v>147</v>
      </c>
      <c r="D11" s="10" t="s">
        <v>148</v>
      </c>
      <c r="E11" s="10" t="s">
        <v>98</v>
      </c>
    </row>
    <row r="12" spans="1:12" x14ac:dyDescent="0.25">
      <c r="A12" s="9" t="s">
        <v>64</v>
      </c>
      <c r="C12" s="10"/>
      <c r="D12" s="10"/>
      <c r="E12" s="10"/>
    </row>
    <row r="13" spans="1:12" x14ac:dyDescent="0.25">
      <c r="A13" s="8" t="s">
        <v>65</v>
      </c>
      <c r="B13">
        <f>C13+D13+E13</f>
        <v>67.645664969979578</v>
      </c>
      <c r="C13" s="10">
        <f>SUM(B$9*'2023 components'!C5,C$9*'2023 components'!D5,D$9*'2023 components'!E5,E$9*'2023 components'!F5,F$9*'2023 components'!G5,G$9*'2023 components'!H5,H$9*'2023 components'!I5,I$9*'2023 components'!J5,J$9*'2023 components'!K5,K$9*'2023 components'!L5,L$9*'2023 components'!M5)</f>
        <v>67.645664969979578</v>
      </c>
      <c r="D13" s="10">
        <f>SUM(A$6*'2023 components'!N5,B$6*'2023 components'!O5,C$6*'2023 components'!P5,D$6*'2023 components'!Q5)</f>
        <v>0</v>
      </c>
      <c r="E13" s="10"/>
    </row>
    <row r="14" spans="1:12" x14ac:dyDescent="0.25">
      <c r="A14" s="8" t="s">
        <v>66</v>
      </c>
      <c r="B14">
        <f t="shared" ref="B14:B29" si="0">C14+D14+E14</f>
        <v>6.6271817908541593</v>
      </c>
      <c r="C14" s="10">
        <f>SUM(B$9*'2023 components'!C6,C$9*'2023 components'!D6,D$9*'2023 components'!E6,E$9*'2023 components'!F6,F$9*'2023 components'!G6,G$9*'2023 components'!H6,H$9*'2023 components'!I6,I$9*'2023 components'!J6,J$9*'2023 components'!K6,K$9*'2023 components'!L6,L$9*'2023 components'!M6)</f>
        <v>6.6271817908541593</v>
      </c>
      <c r="D14" s="10">
        <f>SUM(A$6*'2023 components'!N6,B$6*'2023 components'!O6,C$6*'2023 components'!P6,D$6*'2023 components'!Q6)</f>
        <v>0</v>
      </c>
      <c r="E14" s="10"/>
    </row>
    <row r="15" spans="1:12" x14ac:dyDescent="0.25">
      <c r="A15" s="8" t="s">
        <v>67</v>
      </c>
      <c r="B15">
        <f t="shared" si="0"/>
        <v>0</v>
      </c>
      <c r="C15" s="10">
        <f>SUM(B$9*'2023 components'!C7,C$9*'2023 components'!D7,D$9*'2023 components'!E7,E$9*'2023 components'!F7,F$9*'2023 components'!G7,G$9*'2023 components'!H7,H$9*'2023 components'!I7,I$9*'2023 components'!J7,J$9*'2023 components'!K7,K$9*'2023 components'!L7,L$9*'2023 components'!M7)</f>
        <v>0</v>
      </c>
      <c r="D15" s="10">
        <f>SUM(A$6*'2023 components'!N7,B$6*'2023 components'!O7,C$6*'2023 components'!P7,D$6*'2023 components'!Q7)</f>
        <v>0</v>
      </c>
      <c r="E15" s="10"/>
    </row>
    <row r="16" spans="1:12" x14ac:dyDescent="0.25">
      <c r="A16" s="8" t="s">
        <v>68</v>
      </c>
      <c r="B16">
        <f t="shared" si="0"/>
        <v>9.5171893144520556</v>
      </c>
      <c r="C16" s="10">
        <f>SUM(B$9*'2023 components'!C8,C$9*'2023 components'!D8,D$9*'2023 components'!E8,E$9*'2023 components'!F8,F$9*'2023 components'!G8,G$9*'2023 components'!H8,H$9*'2023 components'!I8,I$9*'2023 components'!J8,J$9*'2023 components'!K8,K$9*'2023 components'!L8,L$9*'2023 components'!M8)</f>
        <v>9.5171893144520556</v>
      </c>
      <c r="D16" s="10">
        <f>SUM(A$6*'2023 components'!N8,B$6*'2023 components'!O8,C$6*'2023 components'!P8,D$6*'2023 components'!Q8)</f>
        <v>0</v>
      </c>
      <c r="E16" s="10"/>
    </row>
    <row r="17" spans="1:11" x14ac:dyDescent="0.25">
      <c r="A17" s="8" t="s">
        <v>69</v>
      </c>
      <c r="B17">
        <f t="shared" si="0"/>
        <v>8.0627536334231795</v>
      </c>
      <c r="C17" s="10">
        <f>SUM(B$9*'2023 components'!C9,C$9*'2023 components'!D9,D$9*'2023 components'!E9,E$9*'2023 components'!F9,F$9*'2023 components'!G9,G$9*'2023 components'!H9,H$9*'2023 components'!I9,I$9*'2023 components'!J9,J$9*'2023 components'!K9,K$9*'2023 components'!L9,L$9*'2023 components'!M9)</f>
        <v>8.0627536334231795</v>
      </c>
      <c r="D17" s="10">
        <f>SUM(A$6*'2023 components'!N9,B$6*'2023 components'!O9,C$6*'2023 components'!P9,D$6*'2023 components'!Q9)</f>
        <v>0</v>
      </c>
      <c r="E17" s="10"/>
    </row>
    <row r="18" spans="1:11" x14ac:dyDescent="0.25">
      <c r="A18" s="8" t="s">
        <v>70</v>
      </c>
      <c r="B18">
        <f t="shared" si="0"/>
        <v>20.683399999999995</v>
      </c>
      <c r="C18" s="10">
        <f>SUM(B$9*'2023 components'!C10,C$9*'2023 components'!D10,D$9*'2023 components'!E10,E$9*'2023 components'!F10,F$9*'2023 components'!G10,G$9*'2023 components'!H10,H$9*'2023 components'!I10,I$9*'2023 components'!J10,J$9*'2023 components'!K10,K$9*'2023 components'!L10,L$9*'2023 components'!M10)</f>
        <v>20.683399999999995</v>
      </c>
      <c r="D18" s="10">
        <f>SUM(A$6*'2023 components'!N10,B$6*'2023 components'!O10,C$6*'2023 components'!P10,D$6*'2023 components'!Q10)</f>
        <v>0</v>
      </c>
      <c r="E18" s="10"/>
    </row>
    <row r="19" spans="1:11" x14ac:dyDescent="0.25">
      <c r="A19" s="8" t="s">
        <v>71</v>
      </c>
      <c r="B19">
        <f t="shared" si="0"/>
        <v>1.7341690359265962</v>
      </c>
      <c r="C19" s="10">
        <f>SUM(B$9*'2023 components'!C11,C$9*'2023 components'!D11,D$9*'2023 components'!E11,E$9*'2023 components'!F11,F$9*'2023 components'!G11,G$9*'2023 components'!H11,H$9*'2023 components'!I11,I$9*'2023 components'!J11,J$9*'2023 components'!K11,K$9*'2023 components'!L11,L$9*'2023 components'!M11)</f>
        <v>1.7341690359265962</v>
      </c>
      <c r="D19" s="10">
        <f>SUM(A$6*'2023 components'!N11,B$6*'2023 components'!O11,C$6*'2023 components'!P11,D$6*'2023 components'!Q11)</f>
        <v>0</v>
      </c>
      <c r="E19" s="10"/>
    </row>
    <row r="20" spans="1:11" x14ac:dyDescent="0.25">
      <c r="A20" s="8" t="s">
        <v>72</v>
      </c>
      <c r="B20">
        <f t="shared" si="0"/>
        <v>32.772354395890417</v>
      </c>
      <c r="C20" s="10">
        <f>SUM(B$9*'2023 components'!C12,C$9*'2023 components'!D12,D$9*'2023 components'!E12,E$9*'2023 components'!F12,F$9*'2023 components'!G12,G$9*'2023 components'!H12,H$9*'2023 components'!I12,I$9*'2023 components'!J12,J$9*'2023 components'!K12,K$9*'2023 components'!L12,L$9*'2023 components'!M12)</f>
        <v>32.772354395890417</v>
      </c>
      <c r="D20" s="10">
        <f>SUM(A$6*'2023 components'!N12,B$6*'2023 components'!O12,C$6*'2023 components'!P12,D$6*'2023 components'!Q12)</f>
        <v>0</v>
      </c>
      <c r="E20" s="10">
        <f>K41</f>
        <v>0</v>
      </c>
    </row>
    <row r="21" spans="1:11" x14ac:dyDescent="0.25">
      <c r="A21" s="8" t="s">
        <v>73</v>
      </c>
      <c r="B21">
        <f t="shared" si="0"/>
        <v>2.0144754201447719</v>
      </c>
      <c r="C21" s="10">
        <f>SUM(B$9*'2023 components'!C13,C$9*'2023 components'!D13,D$9*'2023 components'!E13,E$9*'2023 components'!F13,F$9*'2023 components'!G13,G$9*'2023 components'!H13,H$9*'2023 components'!I13,I$9*'2023 components'!J13,J$9*'2023 components'!K13,K$9*'2023 components'!L13,L$9*'2023 components'!M13)</f>
        <v>2.0144754201447719</v>
      </c>
      <c r="D21" s="10">
        <f>SUM(A$6*'2023 components'!N13,B$6*'2023 components'!O13,C$6*'2023 components'!P13,D$6*'2023 components'!Q13)</f>
        <v>0</v>
      </c>
      <c r="E21" s="10"/>
    </row>
    <row r="22" spans="1:11" x14ac:dyDescent="0.25">
      <c r="A22" s="8" t="s">
        <v>74</v>
      </c>
      <c r="B22">
        <f t="shared" si="0"/>
        <v>21.212558492057241</v>
      </c>
      <c r="C22" s="10">
        <f>SUM(B$9*'2023 components'!C14,C$9*'2023 components'!D14,D$9*'2023 components'!E14,E$9*'2023 components'!F14,F$9*'2023 components'!G14,G$9*'2023 components'!H14,H$9*'2023 components'!I14,I$9*'2023 components'!J14,J$9*'2023 components'!K14,K$9*'2023 components'!L14,L$9*'2023 components'!M14)</f>
        <v>21.212558492057241</v>
      </c>
      <c r="D22" s="10">
        <f>SUM(A$6*'2023 components'!N14,B$6*'2023 components'!O14,C$6*'2023 components'!P14,D$6*'2023 components'!Q14)</f>
        <v>0</v>
      </c>
      <c r="E22" s="10">
        <f>SUM(M41:Q41)</f>
        <v>0</v>
      </c>
    </row>
    <row r="23" spans="1:11" x14ac:dyDescent="0.25">
      <c r="A23" s="8" t="s">
        <v>75</v>
      </c>
      <c r="B23">
        <f t="shared" si="0"/>
        <v>10.75890625796827</v>
      </c>
      <c r="C23" s="10">
        <f>SUM(B$9*'2023 components'!C15,C$9*'2023 components'!D15,D$9*'2023 components'!E15,E$9*'2023 components'!F15,F$9*'2023 components'!G15,G$9*'2023 components'!H15,H$9*'2023 components'!I15,I$9*'2023 components'!J15,J$9*'2023 components'!K15,K$9*'2023 components'!L15,L$9*'2023 components'!M15)</f>
        <v>10.75890625796827</v>
      </c>
      <c r="D23" s="10">
        <f>SUM(A$6*'2023 components'!N15,B$6*'2023 components'!O15,C$6*'2023 components'!P15,D$6*'2023 components'!Q15)</f>
        <v>0</v>
      </c>
      <c r="E23" s="10"/>
    </row>
    <row r="24" spans="1:11" x14ac:dyDescent="0.25">
      <c r="A24" s="8" t="s">
        <v>76</v>
      </c>
      <c r="B24">
        <f t="shared" si="0"/>
        <v>0</v>
      </c>
      <c r="C24" s="10">
        <f>SUM(B$9*'2023 components'!C16,C$9*'2023 components'!D16,D$9*'2023 components'!E16,E$9*'2023 components'!F16,F$9*'2023 components'!G16,G$9*'2023 components'!H16,H$9*'2023 components'!I16,I$9*'2023 components'!J16,J$9*'2023 components'!K16,K$9*'2023 components'!L16,L$9*'2023 components'!M16)</f>
        <v>0</v>
      </c>
      <c r="D24" s="10">
        <f>SUM(A$6*'2023 components'!N16,B$6*'2023 components'!O16,C$6*'2023 components'!P16,D$6*'2023 components'!Q16)</f>
        <v>0</v>
      </c>
      <c r="E24" s="10">
        <f>SUM(E41:J41)</f>
        <v>0</v>
      </c>
    </row>
    <row r="25" spans="1:11" x14ac:dyDescent="0.25">
      <c r="A25" s="8" t="s">
        <v>77</v>
      </c>
      <c r="B25">
        <f t="shared" si="0"/>
        <v>30.682097770163615</v>
      </c>
      <c r="C25" s="10">
        <f>SUM(B$9*'2023 components'!C17,C$9*'2023 components'!D17,D$9*'2023 components'!E17,E$9*'2023 components'!F17,F$9*'2023 components'!G17,G$9*'2023 components'!H17,H$9*'2023 components'!I17,I$9*'2023 components'!J17,J$9*'2023 components'!K17,K$9*'2023 components'!L17,L$9*'2023 components'!M17)</f>
        <v>30.682097770163615</v>
      </c>
      <c r="D25" s="10">
        <f>SUM(A$6*'2023 components'!N17,B$6*'2023 components'!O17,C$6*'2023 components'!P17,D$6*'2023 components'!Q17)</f>
        <v>0</v>
      </c>
      <c r="E25" s="10">
        <f>SUM(T41:W41)</f>
        <v>0</v>
      </c>
    </row>
    <row r="26" spans="1:11" x14ac:dyDescent="0.25">
      <c r="A26" s="8" t="s">
        <v>10</v>
      </c>
      <c r="B26">
        <f t="shared" si="0"/>
        <v>0</v>
      </c>
      <c r="C26" s="10">
        <f>SUM(B$9*'2023 components'!C18,C$9*'2023 components'!D18,D$9*'2023 components'!E18,E$9*'2023 components'!F18,F$9*'2023 components'!G18,G$9*'2023 components'!H18,H$9*'2023 components'!I18,I$9*'2023 components'!J18,J$9*'2023 components'!K18,K$9*'2023 components'!L18,L$9*'2023 components'!M18)</f>
        <v>0</v>
      </c>
      <c r="D26" s="10">
        <f>SUM(A$6*'2023 components'!N18,B$6*'2023 components'!O18,C$6*'2023 components'!P18,D$6*'2023 components'!Q18)</f>
        <v>0</v>
      </c>
      <c r="E26" s="10">
        <f>AD48</f>
        <v>0</v>
      </c>
    </row>
    <row r="27" spans="1:11" x14ac:dyDescent="0.25">
      <c r="A27" s="8" t="s">
        <v>78</v>
      </c>
      <c r="B27">
        <f t="shared" si="0"/>
        <v>12.932764162517874</v>
      </c>
      <c r="C27">
        <f>I27+I28</f>
        <v>12.932764162517874</v>
      </c>
      <c r="D27">
        <f t="shared" ref="D27:E27" si="1">J27+J28</f>
        <v>0</v>
      </c>
      <c r="E27">
        <f t="shared" si="1"/>
        <v>0</v>
      </c>
      <c r="G27" t="s">
        <v>169</v>
      </c>
      <c r="H27">
        <f>I27+J27+K27</f>
        <v>0</v>
      </c>
      <c r="I27" s="10">
        <f>SUM(B$9*'2023 components'!C19,C$9*'2023 components'!D19,D$9*'2023 components'!E19,E$9*'2023 components'!F19,F$9*'2023 components'!G19,G$9*'2023 components'!H19,H$9*'2023 components'!I19,I$9*'2023 components'!J19,J$9*'2023 components'!K19,K$9*'2023 components'!L19,L$9*'2023 components'!M19)</f>
        <v>0</v>
      </c>
      <c r="J27" s="10">
        <f>SUM(A$6*'2023 components'!N19,B$6*'2023 components'!O19,C$6*'2023 components'!P19,D$6*'2023 components'!Q19)</f>
        <v>0</v>
      </c>
      <c r="K27" s="10"/>
    </row>
    <row r="28" spans="1:11" x14ac:dyDescent="0.25">
      <c r="A28" s="8" t="s">
        <v>79</v>
      </c>
      <c r="B28">
        <f t="shared" si="0"/>
        <v>51.622143250396597</v>
      </c>
      <c r="C28" s="10">
        <f>SUM(B$9*'2023 components'!C21,C$9*'2023 components'!D21,D$9*'2023 components'!E21,E$9*'2023 components'!F21,F$9*'2023 components'!G21,G$9*'2023 components'!H21,H$9*'2023 components'!I21,I$9*'2023 components'!J21,J$9*'2023 components'!K21,K$9*'2023 components'!L21,L$9*'2023 components'!M21)</f>
        <v>51.622143250396597</v>
      </c>
      <c r="D28" s="10">
        <f>SUM(A$6*'2023 components'!N21,B$6*'2023 components'!O21,C$6*'2023 components'!P21,D$6*'2023 components'!Q21)</f>
        <v>0</v>
      </c>
      <c r="E28" s="10">
        <f>SUM(X41:AA41)+SUM(AM41:AP41)</f>
        <v>0</v>
      </c>
      <c r="G28" t="s">
        <v>170</v>
      </c>
      <c r="H28">
        <f>I28+J28+K28</f>
        <v>12.932764162517874</v>
      </c>
      <c r="I28" s="10">
        <f>SUM(B$9*'2023 components'!C20,C$9*'2023 components'!D20,D$9*'2023 components'!E20,E$9*'2023 components'!F20,F$9*'2023 components'!G20,G$9*'2023 components'!H20,H$9*'2023 components'!I20,I$9*'2023 components'!J20,J$9*'2023 components'!K20,K$9*'2023 components'!L20,L$9*'2023 components'!M20)</f>
        <v>12.932764162517874</v>
      </c>
      <c r="J28" s="10">
        <f>SUM(A$6*'2023 components'!N20,B$6*'2023 components'!O20,C$6*'2023 components'!P20,D$6*'2023 components'!Q20)</f>
        <v>0</v>
      </c>
      <c r="K28" s="10"/>
    </row>
    <row r="29" spans="1:11" x14ac:dyDescent="0.25">
      <c r="A29" s="8" t="s">
        <v>80</v>
      </c>
      <c r="B29">
        <f t="shared" si="0"/>
        <v>90.011389639192132</v>
      </c>
      <c r="C29" s="10">
        <f>SUM(B$9*'2023 components'!C22,C$9*'2023 components'!D22,D$9*'2023 components'!E22,E$9*'2023 components'!F22,F$9*'2023 components'!G22,G$9*'2023 components'!H22,H$9*'2023 components'!I22,I$9*'2023 components'!J22,J$9*'2023 components'!K22,K$9*'2023 components'!L22,L$9*'2023 components'!M22)</f>
        <v>90.011389639192132</v>
      </c>
      <c r="D29" s="10">
        <f>SUM(A$6*'2023 components'!N22,B$6*'2023 components'!O22,C$6*'2023 components'!P22,D$6*'2023 components'!Q22)</f>
        <v>0</v>
      </c>
      <c r="E29" s="10"/>
    </row>
    <row r="30" spans="1:11" x14ac:dyDescent="0.25">
      <c r="E30" s="10"/>
    </row>
    <row r="33" spans="1:47" x14ac:dyDescent="0.25">
      <c r="A33" s="11" t="s">
        <v>78</v>
      </c>
      <c r="B33" s="11" t="s">
        <v>149</v>
      </c>
      <c r="C33" s="11">
        <f>SUM(B$9*'2023 components'!C17,C$9*'2023 components'!D17,D$9*'2023 components'!E17,E$9*'2023 components'!F17,F$9*'2023 components'!G17,G$9*'2023 components'!H17,H$9*'2023 components'!I17,I$9*'2023 components'!J17,J$9*'2023 components'!K17,K$9*'2023 components'!L17,L$9*'2023 components'!M17)</f>
        <v>30.682097770163615</v>
      </c>
      <c r="D33" s="10">
        <f>SUM(A$6*'2023 components'!N17,B$6*'2023 components'!O17,C$6*'2023 components'!P17,D$6*'2023 components'!Q17)</f>
        <v>0</v>
      </c>
    </row>
    <row r="34" spans="1:47" x14ac:dyDescent="0.25">
      <c r="A34" s="11"/>
      <c r="B34" s="11" t="s">
        <v>150</v>
      </c>
      <c r="C34" s="11">
        <f>SUM(B$9*'2023 components'!C18,C$9*'2023 components'!D18,D$9*'2023 components'!E18,E$9*'2023 components'!F18,F$9*'2023 components'!G18,G$9*'2023 components'!H18,H$9*'2023 components'!I18,I$9*'2023 components'!J18,J$9*'2023 components'!K18,K$9*'2023 components'!L18,L$9*'2023 components'!M18)</f>
        <v>0</v>
      </c>
      <c r="D34" s="10">
        <f>SUM(A$6*'2023 components'!N18,B$6*'2023 components'!O18,C$6*'2023 components'!P18,D$6*'2023 components'!Q18)</f>
        <v>0</v>
      </c>
    </row>
    <row r="35" spans="1:47" x14ac:dyDescent="0.25">
      <c r="A35" s="11"/>
      <c r="B35" s="11" t="s">
        <v>151</v>
      </c>
      <c r="C35" s="11">
        <f>C33+C34</f>
        <v>30.682097770163615</v>
      </c>
      <c r="D35" s="11">
        <f>D33+D34</f>
        <v>0</v>
      </c>
    </row>
    <row r="37" spans="1:47" ht="45" x14ac:dyDescent="0.25">
      <c r="E37" t="s">
        <v>28</v>
      </c>
      <c r="F37" t="s">
        <v>29</v>
      </c>
      <c r="G37" t="s">
        <v>30</v>
      </c>
      <c r="H37" t="s">
        <v>31</v>
      </c>
      <c r="I37" t="s">
        <v>32</v>
      </c>
      <c r="J37" t="s">
        <v>33</v>
      </c>
      <c r="K37" t="s">
        <v>34</v>
      </c>
      <c r="L37" t="s">
        <v>35</v>
      </c>
      <c r="M37" t="s">
        <v>36</v>
      </c>
      <c r="N37" t="s">
        <v>37</v>
      </c>
      <c r="O37" t="s">
        <v>38</v>
      </c>
      <c r="P37" t="s">
        <v>39</v>
      </c>
      <c r="Q37" t="s">
        <v>40</v>
      </c>
      <c r="R37" t="s">
        <v>41</v>
      </c>
      <c r="S37" t="s">
        <v>42</v>
      </c>
      <c r="T37" t="s">
        <v>39</v>
      </c>
      <c r="U37" t="s">
        <v>40</v>
      </c>
      <c r="V37" t="s">
        <v>99</v>
      </c>
      <c r="W37" s="3" t="s">
        <v>44</v>
      </c>
      <c r="X37" t="s">
        <v>100</v>
      </c>
      <c r="Y37" t="s">
        <v>101</v>
      </c>
      <c r="Z37" t="s">
        <v>102</v>
      </c>
      <c r="AA37" t="s">
        <v>48</v>
      </c>
      <c r="AB37" t="s">
        <v>49</v>
      </c>
      <c r="AC37" t="s">
        <v>50</v>
      </c>
      <c r="AD37" t="s">
        <v>51</v>
      </c>
      <c r="AE37" t="s">
        <v>52</v>
      </c>
      <c r="AF37" t="s">
        <v>53</v>
      </c>
      <c r="AG37" t="s">
        <v>54</v>
      </c>
      <c r="AH37" t="s">
        <v>55</v>
      </c>
      <c r="AI37" t="s">
        <v>56</v>
      </c>
      <c r="AJ37" t="s">
        <v>57</v>
      </c>
      <c r="AK37" t="s">
        <v>58</v>
      </c>
      <c r="AL37" t="s">
        <v>145</v>
      </c>
      <c r="AM37" t="s">
        <v>60</v>
      </c>
      <c r="AN37" t="s">
        <v>61</v>
      </c>
      <c r="AO37" t="s">
        <v>62</v>
      </c>
      <c r="AP37" t="s">
        <v>63</v>
      </c>
      <c r="AT37" t="s">
        <v>144</v>
      </c>
    </row>
    <row r="38" spans="1:47" ht="45" x14ac:dyDescent="0.25">
      <c r="D38" s="12" t="s">
        <v>152</v>
      </c>
      <c r="E38" t="s">
        <v>103</v>
      </c>
      <c r="F38" t="s">
        <v>104</v>
      </c>
      <c r="G38" t="s">
        <v>105</v>
      </c>
      <c r="H38" t="s">
        <v>106</v>
      </c>
      <c r="I38" t="s">
        <v>107</v>
      </c>
      <c r="J38" t="s">
        <v>108</v>
      </c>
      <c r="K38" t="s">
        <v>109</v>
      </c>
      <c r="L38" t="s">
        <v>110</v>
      </c>
      <c r="M38" t="s">
        <v>111</v>
      </c>
      <c r="N38" t="s">
        <v>112</v>
      </c>
      <c r="O38" t="s">
        <v>113</v>
      </c>
      <c r="P38" t="s">
        <v>114</v>
      </c>
      <c r="Q38" t="s">
        <v>115</v>
      </c>
      <c r="R38" t="s">
        <v>116</v>
      </c>
      <c r="S38" t="s">
        <v>117</v>
      </c>
      <c r="T38" t="s">
        <v>118</v>
      </c>
      <c r="U38" t="s">
        <v>119</v>
      </c>
      <c r="V38" t="s">
        <v>120</v>
      </c>
      <c r="W38" t="s">
        <v>121</v>
      </c>
      <c r="X38" t="s">
        <v>122</v>
      </c>
      <c r="Y38" t="s">
        <v>123</v>
      </c>
      <c r="Z38" t="s">
        <v>124</v>
      </c>
      <c r="AA38" t="s">
        <v>125</v>
      </c>
      <c r="AB38" t="s">
        <v>126</v>
      </c>
      <c r="AC38" t="s">
        <v>127</v>
      </c>
      <c r="AD38" t="s">
        <v>128</v>
      </c>
      <c r="AE38" t="s">
        <v>129</v>
      </c>
      <c r="AF38" t="s">
        <v>130</v>
      </c>
      <c r="AG38" t="s">
        <v>131</v>
      </c>
      <c r="AH38" t="s">
        <v>132</v>
      </c>
      <c r="AI38" t="s">
        <v>133</v>
      </c>
      <c r="AJ38" t="s">
        <v>134</v>
      </c>
      <c r="AK38" t="s">
        <v>135</v>
      </c>
      <c r="AL38" t="s">
        <v>136</v>
      </c>
      <c r="AM38" t="s">
        <v>137</v>
      </c>
      <c r="AN38" t="s">
        <v>138</v>
      </c>
      <c r="AO38" t="s">
        <v>139</v>
      </c>
      <c r="AP38" t="s">
        <v>140</v>
      </c>
      <c r="AT38" t="s">
        <v>142</v>
      </c>
      <c r="AU38">
        <f>IF(AND(E6&gt;0,AU39=0),1,0)</f>
        <v>0</v>
      </c>
    </row>
    <row r="39" spans="1:47" x14ac:dyDescent="0.25">
      <c r="D39" s="1" t="s">
        <v>160</v>
      </c>
      <c r="E39">
        <f>IF(AND(C6&gt;0,(B6+C6=0)),1,0)</f>
        <v>0</v>
      </c>
      <c r="F39">
        <f>C6-E39</f>
        <v>0</v>
      </c>
      <c r="G39">
        <f>IF(A6&gt;0,1,0)</f>
        <v>0</v>
      </c>
      <c r="H39">
        <f>A6-G39</f>
        <v>0</v>
      </c>
      <c r="I39">
        <f>IF(AND(A6=0,B6&gt;0),1,0)</f>
        <v>0</v>
      </c>
      <c r="J39">
        <f>B6-I39</f>
        <v>0</v>
      </c>
      <c r="K39">
        <f>IF(AND(C6+D6&gt;0,A6+B6=0),1,0)</f>
        <v>0</v>
      </c>
      <c r="M39">
        <f>IF(A6&gt;0,1,0)</f>
        <v>0</v>
      </c>
      <c r="N39">
        <f>IF(B6&gt;0,1,0)</f>
        <v>0</v>
      </c>
      <c r="O39">
        <f>IF(C6&gt;0,1,0)</f>
        <v>0</v>
      </c>
      <c r="P39">
        <f>IF(A6+B6&gt;0,1,0)</f>
        <v>0</v>
      </c>
      <c r="Q39">
        <f>IF(A6+B6+C6&gt;0,1,0)</f>
        <v>0</v>
      </c>
      <c r="T39">
        <f>P39</f>
        <v>0</v>
      </c>
      <c r="U39">
        <f>Q39</f>
        <v>0</v>
      </c>
      <c r="V39">
        <f>IF(B6+C6&gt;0,1,0)</f>
        <v>0</v>
      </c>
      <c r="W39">
        <f>IF(A6+B6&gt;1,1,0)</f>
        <v>0</v>
      </c>
      <c r="X39">
        <f>IF(A6+B6+D6&gt;0,1,0)</f>
        <v>0</v>
      </c>
      <c r="Y39">
        <f>O39</f>
        <v>0</v>
      </c>
      <c r="Z39">
        <f>IF(D6&gt;0,1,0)</f>
        <v>0</v>
      </c>
      <c r="AA39">
        <f>IF(D6&gt;1,1,0)</f>
        <v>0</v>
      </c>
      <c r="AB39">
        <f>IF(AU38=1,1,0)</f>
        <v>0</v>
      </c>
      <c r="AC39">
        <f>AB39</f>
        <v>0</v>
      </c>
      <c r="AD39">
        <f>IF(AU39=1,1,0)</f>
        <v>0</v>
      </c>
      <c r="AE39">
        <f>AD39</f>
        <v>0</v>
      </c>
      <c r="AF39">
        <f>IF(SUM(sp!F9:H9)=1,1,0)</f>
        <v>0</v>
      </c>
      <c r="AG39">
        <f>IF(AND(E6&gt;0,AF39=0),1,0)</f>
        <v>0</v>
      </c>
      <c r="AH39">
        <f>A6</f>
        <v>0</v>
      </c>
      <c r="AI39">
        <f>B6</f>
        <v>0</v>
      </c>
      <c r="AJ39">
        <f>C6</f>
        <v>0</v>
      </c>
      <c r="AK39">
        <f>D6</f>
        <v>0</v>
      </c>
      <c r="AM39">
        <f>IF(AND(OR(E6=1,E6=2),C6+D6&gt;0),1,0)</f>
        <v>0</v>
      </c>
      <c r="AN39">
        <f>IF(AND(OR(E6=1,E6=2),C6+D6=0),1,0)</f>
        <v>0</v>
      </c>
      <c r="AO39">
        <f>IF(AND(E6&gt;2,C6+D6&gt;0),1,0)</f>
        <v>0</v>
      </c>
      <c r="AP39">
        <f>IF(AND(E6&gt;2,C6+D6=0),1,0)</f>
        <v>0</v>
      </c>
      <c r="AT39" t="s">
        <v>143</v>
      </c>
      <c r="AU39">
        <f>IF(OR(L9=1,AND(K9=1,D6&gt;0)),1,0)</f>
        <v>0</v>
      </c>
    </row>
    <row r="40" spans="1:47" x14ac:dyDescent="0.25">
      <c r="D40" s="1" t="s">
        <v>153</v>
      </c>
      <c r="E40">
        <f>'2023 components'!R16</f>
        <v>97.808191506804391</v>
      </c>
      <c r="F40">
        <f>'2023 components'!S16</f>
        <v>97.808191506804391</v>
      </c>
      <c r="G40">
        <f>'2023 components'!T16</f>
        <v>286.44531759360001</v>
      </c>
      <c r="H40">
        <f>'2023 components'!U16</f>
        <v>286.44531759360001</v>
      </c>
      <c r="I40">
        <f>'2023 components'!V16</f>
        <v>149.5269997794</v>
      </c>
      <c r="J40">
        <f>'2023 components'!W16</f>
        <v>149.5269997794</v>
      </c>
      <c r="K40">
        <f>'2023 components'!X12</f>
        <v>0</v>
      </c>
      <c r="M40">
        <f>'2023 components'!Z14</f>
        <v>0.37155333390804135</v>
      </c>
      <c r="N40">
        <f>'2023 components'!AA14</f>
        <v>0.20981061908861412</v>
      </c>
      <c r="O40">
        <f>'2023 components'!AB14</f>
        <v>2.765499223273549E-2</v>
      </c>
      <c r="P40">
        <f>'2023 components'!AC14</f>
        <v>0.45757058606196299</v>
      </c>
      <c r="Q40">
        <f>'2023 components'!AD14</f>
        <v>0</v>
      </c>
      <c r="T40">
        <f>'2023 components'!AG17</f>
        <v>0.4427448878615744</v>
      </c>
      <c r="U40">
        <f>'2023 components'!AH17</f>
        <v>2.2037157368483872E-3</v>
      </c>
      <c r="V40">
        <f>'2023 components'!AI17</f>
        <v>4.1756156794292863E-2</v>
      </c>
      <c r="W40">
        <f>'2023 components'!AJ17</f>
        <v>1.0010745187572745</v>
      </c>
      <c r="X40">
        <f>'2023 components'!AK21</f>
        <v>1.7708063721874043</v>
      </c>
      <c r="Y40">
        <f>'2023 components'!AL21</f>
        <v>0</v>
      </c>
      <c r="Z40">
        <f>'2023 components'!AM21</f>
        <v>0</v>
      </c>
      <c r="AA40">
        <f>'2023 components'!AN21</f>
        <v>0</v>
      </c>
      <c r="AB40">
        <f>'2023 components'!AO18</f>
        <v>47.585682423790196</v>
      </c>
      <c r="AC40">
        <f>'2023 components'!AP18</f>
        <v>0.15373698674784678</v>
      </c>
      <c r="AD40">
        <f>'2023 components'!AQ18</f>
        <v>40.949750209232455</v>
      </c>
      <c r="AE40">
        <f>'2023 components'!AR18</f>
        <v>0.28419018572091292</v>
      </c>
      <c r="AF40">
        <f>'2023 components'!AS18</f>
        <v>157.17560741575514</v>
      </c>
      <c r="AG40">
        <f>'2023 components'!AT18</f>
        <v>161.25115699804385</v>
      </c>
      <c r="AH40">
        <f>'2023 components'!AU18</f>
        <v>20.911062685354459</v>
      </c>
      <c r="AI40">
        <f>'2023 components'!AV18</f>
        <v>22.813034342203263</v>
      </c>
      <c r="AJ40">
        <f>'2023 components'!AW18</f>
        <v>34.309868603155259</v>
      </c>
      <c r="AK40">
        <f>'2023 components'!AX18</f>
        <v>14.47198545602275</v>
      </c>
      <c r="AM40">
        <f>'2023 components'!AZ21</f>
        <v>20.245142765795233</v>
      </c>
      <c r="AN40">
        <f>'2023 components'!BA21</f>
        <v>8.1296785617668021</v>
      </c>
      <c r="AO40">
        <f>'2023 components'!BB21</f>
        <v>24.321346007230513</v>
      </c>
      <c r="AP40">
        <f>'2023 components'!BC21</f>
        <v>10.284878384692947</v>
      </c>
    </row>
    <row r="41" spans="1:47" x14ac:dyDescent="0.25">
      <c r="D41" s="1" t="s">
        <v>159</v>
      </c>
      <c r="E41" s="1">
        <f>E39*E40</f>
        <v>0</v>
      </c>
      <c r="F41" s="1">
        <f t="shared" ref="F41:AP41" si="2">F39*F40</f>
        <v>0</v>
      </c>
      <c r="G41" s="1">
        <f t="shared" si="2"/>
        <v>0</v>
      </c>
      <c r="H41" s="1">
        <f t="shared" si="2"/>
        <v>0</v>
      </c>
      <c r="I41" s="1">
        <f t="shared" si="2"/>
        <v>0</v>
      </c>
      <c r="J41" s="1">
        <f t="shared" si="2"/>
        <v>0</v>
      </c>
      <c r="K41" s="1">
        <f t="shared" si="2"/>
        <v>0</v>
      </c>
      <c r="L41" s="1">
        <f t="shared" si="2"/>
        <v>0</v>
      </c>
      <c r="M41" s="1">
        <f t="shared" si="2"/>
        <v>0</v>
      </c>
      <c r="N41" s="1">
        <f t="shared" si="2"/>
        <v>0</v>
      </c>
      <c r="O41" s="1">
        <f t="shared" si="2"/>
        <v>0</v>
      </c>
      <c r="P41" s="1">
        <f t="shared" si="2"/>
        <v>0</v>
      </c>
      <c r="Q41" s="1">
        <f t="shared" si="2"/>
        <v>0</v>
      </c>
      <c r="R41" s="1">
        <f t="shared" si="2"/>
        <v>0</v>
      </c>
      <c r="S41" s="1">
        <f t="shared" si="2"/>
        <v>0</v>
      </c>
      <c r="T41" s="1">
        <f t="shared" si="2"/>
        <v>0</v>
      </c>
      <c r="U41" s="1">
        <f t="shared" si="2"/>
        <v>0</v>
      </c>
      <c r="V41" s="1">
        <f t="shared" si="2"/>
        <v>0</v>
      </c>
      <c r="W41" s="1">
        <f t="shared" si="2"/>
        <v>0</v>
      </c>
      <c r="X41" s="1">
        <f t="shared" si="2"/>
        <v>0</v>
      </c>
      <c r="Y41" s="1">
        <f t="shared" si="2"/>
        <v>0</v>
      </c>
      <c r="Z41" s="1">
        <f t="shared" si="2"/>
        <v>0</v>
      </c>
      <c r="AA41" s="1">
        <f t="shared" si="2"/>
        <v>0</v>
      </c>
      <c r="AB41" s="1">
        <f t="shared" si="2"/>
        <v>0</v>
      </c>
      <c r="AC41" s="1">
        <f t="shared" si="2"/>
        <v>0</v>
      </c>
      <c r="AD41" s="1">
        <f t="shared" si="2"/>
        <v>0</v>
      </c>
      <c r="AE41" s="1">
        <f t="shared" si="2"/>
        <v>0</v>
      </c>
      <c r="AF41" s="1">
        <f t="shared" si="2"/>
        <v>0</v>
      </c>
      <c r="AG41" s="1">
        <f t="shared" si="2"/>
        <v>0</v>
      </c>
      <c r="AH41" s="1">
        <f t="shared" si="2"/>
        <v>0</v>
      </c>
      <c r="AI41" s="1">
        <f t="shared" si="2"/>
        <v>0</v>
      </c>
      <c r="AJ41" s="1">
        <f t="shared" si="2"/>
        <v>0</v>
      </c>
      <c r="AK41" s="1">
        <f t="shared" si="2"/>
        <v>0</v>
      </c>
      <c r="AL41" s="1">
        <f t="shared" si="2"/>
        <v>0</v>
      </c>
      <c r="AM41" s="1">
        <f t="shared" si="2"/>
        <v>0</v>
      </c>
      <c r="AN41" s="1">
        <f t="shared" si="2"/>
        <v>0</v>
      </c>
      <c r="AO41" s="1">
        <f t="shared" si="2"/>
        <v>0</v>
      </c>
      <c r="AP41" s="1">
        <f t="shared" si="2"/>
        <v>0</v>
      </c>
    </row>
    <row r="42" spans="1:47" x14ac:dyDescent="0.25">
      <c r="D42" s="1" t="s">
        <v>87</v>
      </c>
      <c r="E42" t="s">
        <v>76</v>
      </c>
      <c r="F42" t="s">
        <v>76</v>
      </c>
      <c r="G42" t="s">
        <v>76</v>
      </c>
      <c r="H42" t="s">
        <v>76</v>
      </c>
      <c r="I42" t="s">
        <v>76</v>
      </c>
      <c r="J42" t="s">
        <v>76</v>
      </c>
      <c r="K42" t="s">
        <v>72</v>
      </c>
      <c r="M42" t="s">
        <v>7</v>
      </c>
      <c r="N42" t="s">
        <v>7</v>
      </c>
      <c r="O42" t="s">
        <v>7</v>
      </c>
      <c r="P42" t="s">
        <v>7</v>
      </c>
      <c r="Q42" t="s">
        <v>7</v>
      </c>
      <c r="T42" t="s">
        <v>154</v>
      </c>
      <c r="U42" t="s">
        <v>154</v>
      </c>
      <c r="V42" t="s">
        <v>154</v>
      </c>
      <c r="W42" t="s">
        <v>154</v>
      </c>
      <c r="X42" t="s">
        <v>155</v>
      </c>
      <c r="Y42" t="s">
        <v>155</v>
      </c>
      <c r="Z42" t="s">
        <v>155</v>
      </c>
      <c r="AA42" t="s">
        <v>155</v>
      </c>
      <c r="AB42" t="s">
        <v>10</v>
      </c>
      <c r="AC42" t="s">
        <v>10</v>
      </c>
      <c r="AD42" t="s">
        <v>10</v>
      </c>
      <c r="AE42" t="s">
        <v>10</v>
      </c>
      <c r="AF42" t="s">
        <v>10</v>
      </c>
      <c r="AG42" t="s">
        <v>10</v>
      </c>
      <c r="AH42" t="s">
        <v>10</v>
      </c>
      <c r="AI42" t="s">
        <v>10</v>
      </c>
      <c r="AJ42" t="s">
        <v>10</v>
      </c>
      <c r="AK42" t="s">
        <v>10</v>
      </c>
      <c r="AM42" t="s">
        <v>155</v>
      </c>
      <c r="AN42" t="s">
        <v>155</v>
      </c>
      <c r="AO42" t="s">
        <v>155</v>
      </c>
      <c r="AP42" t="s">
        <v>155</v>
      </c>
    </row>
    <row r="44" spans="1:47" x14ac:dyDescent="0.25">
      <c r="AC44" t="s">
        <v>156</v>
      </c>
    </row>
    <row r="45" spans="1:47" x14ac:dyDescent="0.25">
      <c r="AC45" t="s">
        <v>157</v>
      </c>
      <c r="AD45">
        <f>AB41+AD41</f>
        <v>0</v>
      </c>
    </row>
    <row r="46" spans="1:47" x14ac:dyDescent="0.25">
      <c r="AC46" t="s">
        <v>11</v>
      </c>
      <c r="AD46">
        <f>SUM(AF41:AK41)</f>
        <v>0</v>
      </c>
    </row>
    <row r="47" spans="1:47" x14ac:dyDescent="0.25">
      <c r="AC47" t="s">
        <v>158</v>
      </c>
      <c r="AD47">
        <f>SUM(AC41,AE41)*AD46</f>
        <v>0</v>
      </c>
    </row>
    <row r="48" spans="1:47" x14ac:dyDescent="0.25">
      <c r="AC48" t="s">
        <v>146</v>
      </c>
      <c r="AD48">
        <f>AD45+AD47</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E9D700EE2122A4690362C214753F247" ma:contentTypeVersion="10" ma:contentTypeDescription="Create a new document." ma:contentTypeScope="" ma:versionID="5697fb85c93b9f754813980b2ced0b95">
  <xsd:schema xmlns:xsd="http://www.w3.org/2001/XMLSchema" xmlns:xs="http://www.w3.org/2001/XMLSchema" xmlns:p="http://schemas.microsoft.com/office/2006/metadata/properties" xmlns:ns3="1e4e7088-102e-48c8-b207-9967376ae4d3" targetNamespace="http://schemas.microsoft.com/office/2006/metadata/properties" ma:root="true" ma:fieldsID="6432f4eda6a889b35e08e475c1af3288" ns3:_="">
    <xsd:import namespace="1e4e7088-102e-48c8-b207-9967376ae4d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4e7088-102e-48c8-b207-9967376ae4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669075-00E7-4A27-97CC-34AAAFCE8141}">
  <ds:schemaRefs>
    <ds:schemaRef ds:uri="http://schemas.microsoft.com/sharepoint/v3/contenttype/forms"/>
  </ds:schemaRefs>
</ds:datastoreItem>
</file>

<file path=customXml/itemProps2.xml><?xml version="1.0" encoding="utf-8"?>
<ds:datastoreItem xmlns:ds="http://schemas.openxmlformats.org/officeDocument/2006/customXml" ds:itemID="{DAABDF57-2F60-49A6-B60F-810A712B1E7D}">
  <ds:schemaRefs>
    <ds:schemaRef ds:uri="http://schemas.microsoft.com/office/2006/documentManagement/types"/>
    <ds:schemaRef ds:uri="http://schemas.microsoft.com/office/infopath/2007/PartnerControls"/>
    <ds:schemaRef ds:uri="1e4e7088-102e-48c8-b207-9967376ae4d3"/>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40A064A-9AA6-4499-861D-B3F10C3034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4e7088-102e-48c8-b207-9967376ae4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User notes</vt:lpstr>
      <vt:lpstr>calculator</vt:lpstr>
      <vt:lpstr>HBAI note</vt:lpstr>
      <vt:lpstr>this case</vt:lpstr>
      <vt:lpstr>2023 components</vt:lpstr>
      <vt:lpstr>STANDARD TYPES</vt:lpstr>
      <vt:lpstr>s</vt:lpstr>
      <vt:lpstr>cpl</vt:lpstr>
      <vt:lpstr>sp</vt:lpstr>
      <vt:lpstr>cp</vt:lpstr>
      <vt:lpstr>lp+1</vt:lpstr>
      <vt:lpstr>lp+2</vt:lpstr>
      <vt:lpstr>lp+3</vt:lpstr>
      <vt:lpstr>c+1</vt:lpstr>
      <vt:lpstr>c+2</vt:lpstr>
      <vt:lpstr>c+3</vt:lpstr>
      <vt:lpstr>c+4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Donald Hirsch</dc:creator>
  <cp:lastModifiedBy>Juliet Stone</cp:lastModifiedBy>
  <dcterms:created xsi:type="dcterms:W3CDTF">2018-04-18T18:14:32Z</dcterms:created>
  <dcterms:modified xsi:type="dcterms:W3CDTF">2023-09-12T16:00:30Z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0x0101001E9D700EE2122A4690362C214753F247</vt:lpwstr>
  </property>
</Properties>
</file>